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oss15\Downloads\"/>
    </mc:Choice>
  </mc:AlternateContent>
  <bookViews>
    <workbookView xWindow="0" yWindow="0" windowWidth="15600" windowHeight="8190" tabRatio="793" activeTab="4"/>
  </bookViews>
  <sheets>
    <sheet name="instructions" sheetId="1" r:id="rId1"/>
    <sheet name="sampledata" sheetId="2" r:id="rId2"/>
    <sheet name="sampledata2" sheetId="3" r:id="rId3"/>
    <sheet name="oldoutput" sheetId="4" r:id="rId4"/>
    <sheet name="LiveRegression" sheetId="5" r:id="rId5"/>
  </sheets>
  <calcPr calcId="152511"/>
</workbook>
</file>

<file path=xl/calcChain.xml><?xml version="1.0" encoding="utf-8"?>
<calcChain xmlns="http://schemas.openxmlformats.org/spreadsheetml/2006/main">
  <c r="BA6" i="5" l="1"/>
  <c r="BA4" i="5"/>
  <c r="BA3" i="5"/>
  <c r="I4" i="5"/>
  <c r="BA5" i="5" s="1"/>
  <c r="L4" i="5"/>
  <c r="O38" i="5"/>
  <c r="AA42" i="5"/>
  <c r="AI34" i="5" s="1"/>
  <c r="AJ34" i="5" s="1"/>
  <c r="AB42" i="5"/>
  <c r="AB43" i="5"/>
  <c r="AC43" i="5"/>
  <c r="AD43" i="5"/>
  <c r="AE43" i="5" s="1"/>
  <c r="E7" i="2"/>
  <c r="G7" i="2"/>
  <c r="E8" i="2"/>
  <c r="G8" i="2" s="1"/>
  <c r="E9" i="2"/>
  <c r="G9" i="2"/>
  <c r="E10" i="2"/>
  <c r="G10" i="2" s="1"/>
  <c r="E11" i="2"/>
  <c r="G11" i="2" s="1"/>
  <c r="E12" i="2"/>
  <c r="G12" i="2" s="1"/>
  <c r="E13" i="2"/>
  <c r="G13" i="2"/>
  <c r="E14" i="2"/>
  <c r="G14" i="2" s="1"/>
  <c r="E15" i="2"/>
  <c r="G15" i="2"/>
  <c r="E16" i="2"/>
  <c r="G16" i="2" s="1"/>
  <c r="E21" i="2"/>
  <c r="G21" i="2"/>
  <c r="E22" i="2"/>
  <c r="G22" i="2" s="1"/>
  <c r="E23" i="2"/>
  <c r="G23" i="2" s="1"/>
  <c r="E24" i="2"/>
  <c r="G24" i="2" s="1"/>
  <c r="E25" i="2"/>
  <c r="G25" i="2"/>
  <c r="E7" i="3"/>
  <c r="G7" i="3" s="1"/>
  <c r="E8" i="3"/>
  <c r="G8" i="3"/>
  <c r="E9" i="3"/>
  <c r="G9" i="3" s="1"/>
  <c r="E10" i="3"/>
  <c r="G10" i="3"/>
  <c r="E11" i="3"/>
  <c r="G11" i="3" s="1"/>
  <c r="E12" i="3"/>
  <c r="G12" i="3" s="1"/>
  <c r="E13" i="3"/>
  <c r="G13" i="3" s="1"/>
  <c r="E14" i="3"/>
  <c r="G14" i="3"/>
  <c r="E15" i="3"/>
  <c r="G15" i="3" s="1"/>
  <c r="E16" i="3"/>
  <c r="G16" i="3"/>
  <c r="BC12" i="5"/>
  <c r="M3" i="5"/>
  <c r="M4" i="5" l="1"/>
  <c r="BA8" i="5" s="1"/>
  <c r="BA7" i="5"/>
  <c r="L17" i="5"/>
  <c r="M16" i="5" s="1"/>
  <c r="D6" i="5"/>
  <c r="D42" i="5"/>
  <c r="C42" i="5"/>
  <c r="E42" i="5"/>
  <c r="G42" i="5" s="1"/>
  <c r="AI36" i="5"/>
  <c r="AA43" i="5"/>
  <c r="M42" i="5" l="1"/>
  <c r="L42" i="5"/>
  <c r="AI37" i="5"/>
  <c r="AI35" i="5"/>
  <c r="AJ35" i="5" s="1"/>
  <c r="L9" i="5"/>
  <c r="BE2" i="5" a="1"/>
  <c r="AA48" i="5"/>
  <c r="AB48" i="5"/>
  <c r="I9" i="5"/>
  <c r="BE9" i="5"/>
  <c r="Q22" i="5" l="1"/>
  <c r="P23" i="5"/>
  <c r="Q25" i="5"/>
  <c r="R27" i="5"/>
  <c r="U28" i="5"/>
  <c r="N25" i="5"/>
  <c r="O27" i="5"/>
  <c r="O29" i="5"/>
  <c r="T30" i="5"/>
  <c r="X31" i="5"/>
  <c r="AA32" i="5"/>
  <c r="Y33" i="5"/>
  <c r="Z34" i="5"/>
  <c r="R23" i="5"/>
  <c r="S26" i="5"/>
  <c r="W28" i="5"/>
  <c r="O30" i="5"/>
  <c r="S31" i="5"/>
  <c r="V32" i="5"/>
  <c r="X33" i="5"/>
  <c r="U34" i="5"/>
  <c r="Q27" i="5"/>
  <c r="R30" i="5"/>
  <c r="Y32" i="5"/>
  <c r="AB34" i="5"/>
  <c r="Q26" i="5"/>
  <c r="V30" i="5"/>
  <c r="U32" i="5"/>
  <c r="X34" i="5"/>
  <c r="O28" i="5"/>
  <c r="T32" i="5"/>
  <c r="P27" i="5"/>
  <c r="M31" i="5"/>
  <c r="O23" i="5"/>
  <c r="U30" i="5"/>
  <c r="O25" i="5"/>
  <c r="P32" i="5"/>
  <c r="N20" i="5"/>
  <c r="M20" i="5"/>
  <c r="O24" i="5"/>
  <c r="N26" i="5"/>
  <c r="V27" i="5"/>
  <c r="N21" i="5"/>
  <c r="S25" i="5"/>
  <c r="T27" i="5"/>
  <c r="S29" i="5"/>
  <c r="X30" i="5"/>
  <c r="O32" i="5"/>
  <c r="M33" i="5"/>
  <c r="N34" i="5"/>
  <c r="O20" i="5"/>
  <c r="P24" i="5"/>
  <c r="M27" i="5"/>
  <c r="N29" i="5"/>
  <c r="S30" i="5"/>
  <c r="W31" i="5"/>
  <c r="Z32" i="5"/>
  <c r="AB33" i="5"/>
  <c r="Y34" i="5"/>
  <c r="V28" i="5"/>
  <c r="N31" i="5"/>
  <c r="S33" i="5"/>
  <c r="O22" i="5"/>
  <c r="P28" i="5"/>
  <c r="R31" i="5"/>
  <c r="O33" i="5"/>
  <c r="N22" i="5"/>
  <c r="P29" i="5"/>
  <c r="N33" i="5"/>
  <c r="T28" i="5"/>
  <c r="X32" i="5"/>
  <c r="P26" i="5"/>
  <c r="Q31" i="5"/>
  <c r="U26" i="5"/>
  <c r="Z33" i="5"/>
  <c r="M22" i="5"/>
  <c r="M25" i="5"/>
  <c r="Q28" i="5"/>
  <c r="T26" i="5"/>
  <c r="P30" i="5"/>
  <c r="W32" i="5"/>
  <c r="V34" i="5"/>
  <c r="M26" i="5"/>
  <c r="V29" i="5"/>
  <c r="R32" i="5"/>
  <c r="Q34" i="5"/>
  <c r="U29" i="5"/>
  <c r="T34" i="5"/>
  <c r="N30" i="5"/>
  <c r="P34" i="5"/>
  <c r="Y31" i="5"/>
  <c r="Q30" i="5"/>
  <c r="X29" i="5"/>
  <c r="U31" i="5"/>
  <c r="O21" i="5"/>
  <c r="R26" i="5"/>
  <c r="N23" i="5"/>
  <c r="N28" i="5"/>
  <c r="P31" i="5"/>
  <c r="Q33" i="5"/>
  <c r="M21" i="5"/>
  <c r="S27" i="5"/>
  <c r="W30" i="5"/>
  <c r="P33" i="5"/>
  <c r="AC34" i="5"/>
  <c r="V31" i="5"/>
  <c r="Q23" i="5"/>
  <c r="Z31" i="5"/>
  <c r="M24" i="5"/>
  <c r="W34" i="5"/>
  <c r="R33" i="5"/>
  <c r="V33" i="5"/>
  <c r="S34" i="5"/>
  <c r="P22" i="5"/>
  <c r="N27" i="5"/>
  <c r="Q24" i="5"/>
  <c r="S28" i="5"/>
  <c r="T31" i="5"/>
  <c r="U33" i="5"/>
  <c r="M23" i="5"/>
  <c r="R28" i="5"/>
  <c r="O31" i="5"/>
  <c r="T33" i="5"/>
  <c r="P25" i="5"/>
  <c r="Q32" i="5"/>
  <c r="N24" i="5"/>
  <c r="M32" i="5"/>
  <c r="T25" i="5"/>
  <c r="R24" i="5"/>
  <c r="AA34" i="5"/>
  <c r="O34" i="5"/>
  <c r="O26" i="5"/>
  <c r="R25" i="5"/>
  <c r="M29" i="5"/>
  <c r="M30" i="5"/>
  <c r="M28" i="5"/>
  <c r="M34" i="5"/>
  <c r="W33" i="5"/>
  <c r="P21" i="5"/>
  <c r="W29" i="5"/>
  <c r="R29" i="5"/>
  <c r="AA33" i="5"/>
  <c r="T29" i="5"/>
  <c r="R34" i="5"/>
  <c r="Y30" i="5"/>
  <c r="S24" i="5"/>
  <c r="S32" i="5"/>
  <c r="N32" i="5"/>
  <c r="Q29" i="5"/>
  <c r="U27" i="5"/>
  <c r="B8" i="5"/>
  <c r="I10" i="5"/>
  <c r="J10" i="5" s="1"/>
  <c r="BK2" i="5"/>
  <c r="BL3" i="5"/>
  <c r="BG5" i="5"/>
  <c r="BH6" i="5"/>
  <c r="BF2" i="5"/>
  <c r="BG3" i="5"/>
  <c r="BE4" i="5"/>
  <c r="B5" i="5" s="1"/>
  <c r="BQ4" i="5"/>
  <c r="BJ5" i="5"/>
  <c r="BK6" i="5"/>
  <c r="BM2" i="5"/>
  <c r="BG4" i="5"/>
  <c r="BF6" i="5"/>
  <c r="C13" i="5" s="1"/>
  <c r="BT2" i="5"/>
  <c r="BT4" i="5"/>
  <c r="BR3" i="5"/>
  <c r="BP2" i="5"/>
  <c r="BJ6" i="5"/>
  <c r="BK4" i="5"/>
  <c r="BU5" i="5"/>
  <c r="BO2" i="5"/>
  <c r="BP3" i="5"/>
  <c r="BJ4" i="5"/>
  <c r="BK5" i="5"/>
  <c r="BL6" i="5"/>
  <c r="BJ2" i="5"/>
  <c r="BK3" i="5"/>
  <c r="BU4" i="5"/>
  <c r="BN5" i="5"/>
  <c r="BO6" i="5"/>
  <c r="BU2" i="5"/>
  <c r="BO4" i="5"/>
  <c r="BF3" i="5"/>
  <c r="BI5" i="5"/>
  <c r="BM6" i="5"/>
  <c r="BP4" i="5"/>
  <c r="BJ3" i="5"/>
  <c r="BI2" i="5"/>
  <c r="BI6" i="5"/>
  <c r="BM5" i="5"/>
  <c r="BE3" i="5"/>
  <c r="BH3" i="5"/>
  <c r="BR4" i="5"/>
  <c r="BT6" i="5"/>
  <c r="BS3" i="5"/>
  <c r="BE2" i="5"/>
  <c r="BT5" i="5"/>
  <c r="BL4" i="5"/>
  <c r="BH2" i="5"/>
  <c r="BP5" i="5"/>
  <c r="BU3" i="5"/>
  <c r="BT3" i="5"/>
  <c r="BO5" i="5"/>
  <c r="BN2" i="5"/>
  <c r="BI4" i="5"/>
  <c r="BR5" i="5"/>
  <c r="BI3" i="5"/>
  <c r="BN6" i="5"/>
  <c r="BQ5" i="5"/>
  <c r="BH5" i="5"/>
  <c r="BM3" i="5"/>
  <c r="BQ6" i="5"/>
  <c r="BG2" i="5"/>
  <c r="BF4" i="5"/>
  <c r="B7" i="5" s="1"/>
  <c r="BS5" i="5"/>
  <c r="BR2" i="5"/>
  <c r="BM4" i="5"/>
  <c r="BG6" i="5"/>
  <c r="BQ3" i="5"/>
  <c r="BL2" i="5"/>
  <c r="BE6" i="5"/>
  <c r="C12" i="5" s="1"/>
  <c r="BR6" i="5"/>
  <c r="BE5" i="5"/>
  <c r="E12" i="5" s="1"/>
  <c r="BS4" i="5"/>
  <c r="BS2" i="5"/>
  <c r="BF5" i="5"/>
  <c r="B13" i="5" s="1"/>
  <c r="BU6" i="5"/>
  <c r="BN3" i="5"/>
  <c r="BN4" i="5"/>
  <c r="BS6" i="5"/>
  <c r="BH4" i="5"/>
  <c r="BP6" i="5"/>
  <c r="BL5" i="5"/>
  <c r="BQ2" i="5"/>
  <c r="BO3" i="5"/>
  <c r="N19" i="5"/>
  <c r="M19" i="5"/>
  <c r="AA53" i="5"/>
  <c r="C44" i="5"/>
  <c r="AA52" i="5"/>
  <c r="C46" i="5"/>
  <c r="C49" i="5"/>
  <c r="M18" i="5"/>
  <c r="C51" i="5"/>
  <c r="AA51" i="5"/>
  <c r="C50" i="5"/>
  <c r="C43" i="5"/>
  <c r="C47" i="5"/>
  <c r="AA50" i="5"/>
  <c r="C52" i="5"/>
  <c r="C48" i="5"/>
  <c r="AA49" i="5"/>
  <c r="C45" i="5"/>
  <c r="D13" i="5" l="1"/>
  <c r="BK1" i="5"/>
  <c r="I52" i="5"/>
  <c r="I44" i="5"/>
  <c r="I48" i="5"/>
  <c r="B14" i="5"/>
  <c r="B12" i="5" s="1"/>
  <c r="F12" i="5" s="1"/>
  <c r="I50" i="5"/>
  <c r="I45" i="5"/>
  <c r="I51" i="5"/>
  <c r="I49" i="5"/>
  <c r="I46" i="5"/>
  <c r="I43" i="5"/>
  <c r="I47" i="5"/>
  <c r="C14" i="5"/>
  <c r="B6" i="5"/>
  <c r="B4" i="5"/>
  <c r="D12" i="5" l="1"/>
  <c r="J48" i="5"/>
  <c r="K48" i="5"/>
  <c r="J49" i="5"/>
  <c r="K49" i="5"/>
  <c r="J51" i="5"/>
  <c r="K51" i="5"/>
  <c r="BV13" i="5"/>
  <c r="BM14" i="5"/>
  <c r="A20" i="5"/>
  <c r="L20" i="5" s="1"/>
  <c r="BM13" i="5"/>
  <c r="BL14" i="5"/>
  <c r="C22" i="5"/>
  <c r="BN12" i="5"/>
  <c r="V16" i="5" s="1"/>
  <c r="BH13" i="5"/>
  <c r="C20" i="5"/>
  <c r="A24" i="5"/>
  <c r="L24" i="5" s="1"/>
  <c r="A29" i="5"/>
  <c r="L29" i="5" s="1"/>
  <c r="B32" i="5"/>
  <c r="B20" i="5"/>
  <c r="C26" i="5"/>
  <c r="B31" i="5"/>
  <c r="BR12" i="5"/>
  <c r="Z16" i="5" s="1"/>
  <c r="B27" i="5"/>
  <c r="A28" i="5"/>
  <c r="L28" i="5" s="1"/>
  <c r="B33" i="5"/>
  <c r="BS13" i="5"/>
  <c r="BF14" i="5"/>
  <c r="C18" i="5" s="1"/>
  <c r="C29" i="5"/>
  <c r="BV14" i="5"/>
  <c r="BL12" i="5"/>
  <c r="T16" i="5" s="1"/>
  <c r="BT12" i="5"/>
  <c r="AB16" i="5" s="1"/>
  <c r="BJ13" i="5"/>
  <c r="BE14" i="5"/>
  <c r="BQ14" i="5"/>
  <c r="BO12" i="5"/>
  <c r="W16" i="5" s="1"/>
  <c r="BE13" i="5"/>
  <c r="B17" i="5" s="1"/>
  <c r="BQ13" i="5"/>
  <c r="BP14" i="5"/>
  <c r="C23" i="5"/>
  <c r="A27" i="5"/>
  <c r="L27" i="5" s="1"/>
  <c r="BP13" i="5"/>
  <c r="A21" i="5"/>
  <c r="L21" i="5" s="1"/>
  <c r="A34" i="5"/>
  <c r="L34" i="5" s="1"/>
  <c r="BU12" i="5"/>
  <c r="AC16" i="5" s="1"/>
  <c r="BO13" i="5"/>
  <c r="A23" i="5"/>
  <c r="L23" i="5" s="1"/>
  <c r="C27" i="5"/>
  <c r="A32" i="5"/>
  <c r="L32" i="5" s="1"/>
  <c r="B22" i="5"/>
  <c r="A31" i="5"/>
  <c r="L31" i="5" s="1"/>
  <c r="BT13" i="5"/>
  <c r="C34" i="5"/>
  <c r="B34" i="5"/>
  <c r="A33" i="5"/>
  <c r="L33" i="5" s="1"/>
  <c r="A22" i="5"/>
  <c r="L22" i="5" s="1"/>
  <c r="BN13" i="5"/>
  <c r="C17" i="5"/>
  <c r="BU14" i="5"/>
  <c r="C21" i="5"/>
  <c r="BU13" i="5"/>
  <c r="BT14" i="5"/>
  <c r="B24" i="5"/>
  <c r="BV12" i="5"/>
  <c r="AD16" i="5" s="1"/>
  <c r="BK14" i="5"/>
  <c r="C25" i="5"/>
  <c r="C30" i="5"/>
  <c r="BJ14" i="5"/>
  <c r="B28" i="5"/>
  <c r="BL13" i="5"/>
  <c r="A25" i="5"/>
  <c r="L25" i="5" s="1"/>
  <c r="BO14" i="5"/>
  <c r="A30" i="5"/>
  <c r="L30" i="5" s="1"/>
  <c r="BI12" i="5"/>
  <c r="Q16" i="5" s="1"/>
  <c r="BQ12" i="5"/>
  <c r="Y16" i="5" s="1"/>
  <c r="C32" i="5"/>
  <c r="BH12" i="5"/>
  <c r="P16" i="5" s="1"/>
  <c r="BI14" i="5"/>
  <c r="BI13" i="5"/>
  <c r="B29" i="5"/>
  <c r="C28" i="5"/>
  <c r="BR14" i="5"/>
  <c r="BG14" i="5"/>
  <c r="C19" i="5" s="1"/>
  <c r="BK13" i="5"/>
  <c r="BR13" i="5"/>
  <c r="B23" i="5"/>
  <c r="B26" i="5"/>
  <c r="BP12" i="5"/>
  <c r="X16" i="5" s="1"/>
  <c r="A17" i="5"/>
  <c r="BH14" i="5"/>
  <c r="C31" i="5"/>
  <c r="B25" i="5"/>
  <c r="C24" i="5"/>
  <c r="A26" i="5"/>
  <c r="L26" i="5" s="1"/>
  <c r="C33" i="5"/>
  <c r="BF13" i="5"/>
  <c r="B18" i="5" s="1"/>
  <c r="BK12" i="5"/>
  <c r="S16" i="5" s="1"/>
  <c r="B21" i="5"/>
  <c r="BS14" i="5"/>
  <c r="BM12" i="5"/>
  <c r="U16" i="5" s="1"/>
  <c r="B30" i="5"/>
  <c r="BJ12" i="5"/>
  <c r="R16" i="5" s="1"/>
  <c r="BS12" i="5"/>
  <c r="AA16" i="5" s="1"/>
  <c r="BG13" i="5"/>
  <c r="B19" i="5" s="1"/>
  <c r="BN14" i="5"/>
  <c r="J47" i="5"/>
  <c r="K47" i="5"/>
  <c r="J43" i="5"/>
  <c r="K43" i="5"/>
  <c r="J45" i="5"/>
  <c r="K45" i="5"/>
  <c r="J44" i="5"/>
  <c r="K44" i="5"/>
  <c r="J46" i="5"/>
  <c r="K46" i="5"/>
  <c r="J50" i="5"/>
  <c r="K50" i="5"/>
  <c r="J52" i="5"/>
  <c r="K52" i="5"/>
  <c r="BG12" i="5"/>
  <c r="BF12" i="5"/>
  <c r="N16" i="5" l="1"/>
  <c r="A18" i="5"/>
  <c r="L18" i="5" s="1"/>
  <c r="O16" i="5"/>
  <c r="A19" i="5"/>
  <c r="D19" i="5"/>
  <c r="E19" i="5" s="1"/>
  <c r="D28" i="5"/>
  <c r="E28" i="5" s="1"/>
  <c r="J28" i="5"/>
  <c r="J29" i="5"/>
  <c r="D29" i="5"/>
  <c r="E29" i="5" s="1"/>
  <c r="D17" i="5"/>
  <c r="E17" i="5" s="1"/>
  <c r="J17" i="5"/>
  <c r="J27" i="5"/>
  <c r="D27" i="5"/>
  <c r="E27" i="5" s="1"/>
  <c r="D30" i="5"/>
  <c r="E30" i="5" s="1"/>
  <c r="J30" i="5"/>
  <c r="J26" i="5"/>
  <c r="D26" i="5"/>
  <c r="E26" i="5" s="1"/>
  <c r="J24" i="5"/>
  <c r="D24" i="5"/>
  <c r="E24" i="5" s="1"/>
  <c r="D34" i="5"/>
  <c r="E34" i="5" s="1"/>
  <c r="J34" i="5"/>
  <c r="D22" i="5"/>
  <c r="E22" i="5" s="1"/>
  <c r="J22" i="5"/>
  <c r="J20" i="5"/>
  <c r="D20" i="5"/>
  <c r="E20" i="5" s="1"/>
  <c r="J31" i="5"/>
  <c r="D31" i="5"/>
  <c r="E31" i="5" s="1"/>
  <c r="D32" i="5"/>
  <c r="E32" i="5" s="1"/>
  <c r="J32" i="5"/>
  <c r="D18" i="5"/>
  <c r="E18" i="5" s="1"/>
  <c r="D21" i="5"/>
  <c r="E21" i="5" s="1"/>
  <c r="J21" i="5"/>
  <c r="D25" i="5"/>
  <c r="E25" i="5" s="1"/>
  <c r="J25" i="5"/>
  <c r="J23" i="5"/>
  <c r="D23" i="5"/>
  <c r="E23" i="5" s="1"/>
  <c r="J33" i="5"/>
  <c r="D33" i="5"/>
  <c r="E33" i="5" s="1"/>
  <c r="AB50" i="5"/>
  <c r="D46" i="5"/>
  <c r="AB52" i="5"/>
  <c r="D49" i="5"/>
  <c r="D51" i="5"/>
  <c r="D45" i="5"/>
  <c r="AB51" i="5"/>
  <c r="D44" i="5"/>
  <c r="AB53" i="5"/>
  <c r="D48" i="5"/>
  <c r="D52" i="5"/>
  <c r="D43" i="5"/>
  <c r="D50" i="5"/>
  <c r="AB49" i="5"/>
  <c r="D47" i="5"/>
  <c r="E47" i="5" l="1"/>
  <c r="G47" i="5" s="1"/>
  <c r="AC49" i="5"/>
  <c r="E50" i="5"/>
  <c r="G50" i="5" s="1"/>
  <c r="E43" i="5"/>
  <c r="E52" i="5"/>
  <c r="G52" i="5" s="1"/>
  <c r="E48" i="5"/>
  <c r="G48" i="5" s="1"/>
  <c r="AC53" i="5"/>
  <c r="E44" i="5"/>
  <c r="G44" i="5" s="1"/>
  <c r="AC51" i="5"/>
  <c r="E45" i="5"/>
  <c r="G45" i="5" s="1"/>
  <c r="E51" i="5"/>
  <c r="G51" i="5" s="1"/>
  <c r="E49" i="5"/>
  <c r="G49" i="5" s="1"/>
  <c r="AC52" i="5"/>
  <c r="E46" i="5"/>
  <c r="G46" i="5" s="1"/>
  <c r="AC50" i="5"/>
  <c r="B42" i="5"/>
  <c r="L19" i="5"/>
  <c r="I12" i="5"/>
  <c r="I13" i="5" s="1"/>
  <c r="J18" i="5"/>
  <c r="J19" i="5"/>
  <c r="B36" i="5" l="1"/>
  <c r="G43" i="5"/>
  <c r="W74" i="5"/>
  <c r="O43" i="5" s="1"/>
  <c r="W78" i="5"/>
  <c r="P56" i="5" s="1"/>
  <c r="R56" i="5" s="1"/>
  <c r="W75" i="5"/>
  <c r="W79" i="5"/>
  <c r="W77" i="5"/>
  <c r="W76" i="5"/>
  <c r="L48" i="5"/>
  <c r="L51" i="5"/>
  <c r="L43" i="5"/>
  <c r="L45" i="5"/>
  <c r="L47" i="5"/>
  <c r="M47" i="5" s="1"/>
  <c r="L52" i="5"/>
  <c r="L46" i="5"/>
  <c r="L49" i="5"/>
  <c r="L44" i="5"/>
  <c r="M44" i="5" s="1"/>
  <c r="L50" i="5"/>
  <c r="C41" i="5"/>
  <c r="I14" i="5"/>
  <c r="D41" i="5" s="1"/>
  <c r="M49" i="5" l="1"/>
  <c r="M45" i="5"/>
  <c r="M51" i="5"/>
  <c r="M50" i="5"/>
  <c r="M52" i="5"/>
  <c r="M48" i="5"/>
  <c r="M46" i="5"/>
  <c r="O44" i="5"/>
  <c r="X74" i="5" l="1"/>
  <c r="X75" i="5" s="1"/>
  <c r="X76" i="5" s="1"/>
  <c r="X77" i="5" s="1"/>
  <c r="X78" i="5" s="1"/>
  <c r="P43" i="5"/>
  <c r="O45" i="5"/>
  <c r="P44" i="5" l="1"/>
  <c r="O46" i="5"/>
  <c r="Q43" i="5"/>
  <c r="R43" i="5"/>
  <c r="S43" i="5" s="1"/>
  <c r="T43" i="5" s="1"/>
  <c r="U43" i="5" s="1"/>
  <c r="P45" i="5" l="1"/>
  <c r="O47" i="5"/>
  <c r="R44" i="5"/>
  <c r="S44" i="5" s="1"/>
  <c r="T44" i="5" s="1"/>
  <c r="U44" i="5" s="1"/>
  <c r="Q44" i="5"/>
  <c r="R45" i="5" l="1"/>
  <c r="S45" i="5" s="1"/>
  <c r="T45" i="5" s="1"/>
  <c r="U45" i="5" s="1"/>
  <c r="Q45" i="5"/>
  <c r="O48" i="5"/>
  <c r="P46" i="5"/>
  <c r="P47" i="5" l="1"/>
  <c r="O49" i="5"/>
  <c r="R46" i="5"/>
  <c r="S46" i="5" s="1"/>
  <c r="T46" i="5" s="1"/>
  <c r="U46" i="5" s="1"/>
  <c r="Q46" i="5"/>
  <c r="P48" i="5" l="1"/>
  <c r="O50" i="5"/>
  <c r="R47" i="5"/>
  <c r="S47" i="5" s="1"/>
  <c r="T47" i="5" s="1"/>
  <c r="U47" i="5" s="1"/>
  <c r="Q47" i="5"/>
  <c r="O51" i="5" l="1"/>
  <c r="P49" i="5"/>
  <c r="R48" i="5"/>
  <c r="S48" i="5" s="1"/>
  <c r="T48" i="5" s="1"/>
  <c r="U48" i="5" s="1"/>
  <c r="Q48" i="5"/>
  <c r="O52" i="5" l="1"/>
  <c r="P50" i="5"/>
  <c r="R49" i="5"/>
  <c r="S49" i="5" s="1"/>
  <c r="T49" i="5" s="1"/>
  <c r="U49" i="5" s="1"/>
  <c r="Q49" i="5"/>
  <c r="R50" i="5" l="1"/>
  <c r="S50" i="5" s="1"/>
  <c r="T50" i="5" s="1"/>
  <c r="U50" i="5" s="1"/>
  <c r="Q50" i="5"/>
  <c r="P51" i="5"/>
  <c r="O53" i="5"/>
  <c r="P52" i="5" l="1"/>
  <c r="O54" i="5"/>
  <c r="R51" i="5"/>
  <c r="S51" i="5" s="1"/>
  <c r="T51" i="5" s="1"/>
  <c r="U51" i="5" s="1"/>
  <c r="Q51" i="5"/>
  <c r="R52" i="5" l="1"/>
  <c r="S52" i="5" s="1"/>
  <c r="T52" i="5" s="1"/>
  <c r="U52" i="5" s="1"/>
  <c r="Q52" i="5"/>
  <c r="O55" i="5"/>
  <c r="P53" i="5"/>
  <c r="R53" i="5" l="1"/>
  <c r="S53" i="5" s="1"/>
  <c r="T53" i="5" s="1"/>
  <c r="U53" i="5" s="1"/>
  <c r="Q53" i="5"/>
  <c r="O56" i="5"/>
  <c r="P54" i="5"/>
  <c r="R54" i="5" l="1"/>
  <c r="S54" i="5" s="1"/>
  <c r="T54" i="5" s="1"/>
  <c r="U54" i="5" s="1"/>
  <c r="Q54" i="5"/>
  <c r="P55" i="5"/>
  <c r="Q56" i="5"/>
  <c r="R55" i="5" l="1"/>
  <c r="Q55" i="5"/>
  <c r="S55" i="5" l="1"/>
  <c r="T55" i="5" s="1"/>
  <c r="U55" i="5" s="1"/>
  <c r="S56" i="5"/>
  <c r="T56" i="5" s="1"/>
  <c r="U56" i="5" l="1"/>
</calcChain>
</file>

<file path=xl/comments1.xml><?xml version="1.0" encoding="utf-8"?>
<comments xmlns="http://schemas.openxmlformats.org/spreadsheetml/2006/main">
  <authors>
    <author/>
  </authors>
  <commentList>
    <comment ref="M3" authorId="0" shapeId="0">
      <text>
        <r>
          <rPr>
            <b/>
            <sz val="9"/>
            <color indexed="9"/>
            <rFont val="Tahoma"/>
            <family val="2"/>
          </rPr>
          <t xml:space="preserve">Andrew M. Ross:
</t>
        </r>
        <r>
          <rPr>
            <sz val="9"/>
            <color indexed="9"/>
            <rFont val="Tahoma"/>
            <family val="2"/>
          </rPr>
          <t>this cell tries to count how many cells below the designated starting point have numbers in them, assuming that nothing else is in that column below the starting point. If it fails, feel free to just type a row number here.</t>
        </r>
      </text>
    </comment>
    <comment ref="I4" authorId="0" shapeId="0">
      <text>
        <r>
          <rPr>
            <b/>
            <sz val="9"/>
            <color indexed="9"/>
            <rFont val="Tahoma"/>
            <family val="2"/>
          </rPr>
          <t xml:space="preserve">Andrew M. Ross:
</t>
        </r>
        <r>
          <rPr>
            <sz val="9"/>
            <color indexed="9"/>
            <rFont val="Tahoma"/>
            <family val="2"/>
          </rPr>
          <t>This cell defaults to be the same as the Y variable sheet name, but can easily be changed.</t>
        </r>
      </text>
    </comment>
    <comment ref="L4" authorId="0" shapeId="0">
      <text>
        <r>
          <rPr>
            <b/>
            <sz val="9"/>
            <color indexed="9"/>
            <rFont val="Tahoma"/>
            <family val="2"/>
          </rPr>
          <t xml:space="preserve">Andrew M. Ross:
</t>
        </r>
        <r>
          <rPr>
            <sz val="9"/>
            <color indexed="9"/>
            <rFont val="Tahoma"/>
            <family val="2"/>
          </rPr>
          <t>This cell defaults to be the same as the Y variable start row, but can easily be changed.</t>
        </r>
      </text>
    </comment>
    <comment ref="M4" authorId="0" shapeId="0">
      <text>
        <r>
          <rPr>
            <b/>
            <sz val="9"/>
            <color indexed="9"/>
            <rFont val="Tahoma"/>
            <family val="2"/>
          </rPr>
          <t xml:space="preserve">Andrew M. Ross:
</t>
        </r>
        <r>
          <rPr>
            <sz val="9"/>
            <color indexed="9"/>
            <rFont val="Tahoma"/>
            <family val="2"/>
          </rPr>
          <t>This cell defaults to be the X start row# plus the # of rows specified for Y, but can easily be changed.</t>
        </r>
      </text>
    </comment>
    <comment ref="BA5" authorId="0" shapeId="0">
      <text>
        <r>
          <rPr>
            <sz val="11"/>
            <color indexed="81"/>
            <rFont val="Calibri"/>
            <family val="2"/>
          </rPr>
          <t>Andrew M. Ross:
location of start of X labels. You may change it if you want. Defaults to 1 row above X data.</t>
        </r>
      </text>
    </comment>
    <comment ref="BA6" authorId="0" shapeId="0">
      <text>
        <r>
          <rPr>
            <b/>
            <sz val="9"/>
            <color indexed="81"/>
            <rFont val="Tahoma"/>
            <family val="2"/>
          </rPr>
          <t xml:space="preserve">Andrew M. Ross:
</t>
        </r>
        <r>
          <rPr>
            <sz val="9"/>
            <color indexed="81"/>
            <rFont val="Tahoma"/>
            <family val="2"/>
          </rPr>
          <t>location of Y label. You may change it if you want. Defaults to 1 row above Y data.</t>
        </r>
      </text>
    </comment>
    <comment ref="I10" authorId="0" shapeId="0">
      <text>
        <r>
          <rPr>
            <b/>
            <sz val="9"/>
            <color indexed="9"/>
            <rFont val="Tahoma"/>
            <family val="2"/>
          </rPr>
          <t xml:space="preserve">Andrew M. Ross:
</t>
        </r>
        <r>
          <rPr>
            <sz val="9"/>
            <color indexed="9"/>
            <rFont val="Tahoma"/>
            <family val="2"/>
          </rPr>
          <t>error code cell to make it easy to color-code when there's danger.</t>
        </r>
      </text>
    </comment>
    <comment ref="I13" authorId="0" shapeId="0">
      <text>
        <r>
          <rPr>
            <b/>
            <sz val="9"/>
            <color indexed="9"/>
            <rFont val="Tahoma"/>
            <family val="2"/>
          </rPr>
          <t xml:space="preserve">Andrew M. Ross:
</t>
        </r>
        <r>
          <rPr>
            <sz val="9"/>
            <color indexed="9"/>
            <rFont val="Tahoma"/>
            <family val="2"/>
          </rPr>
          <t>error code cell to make it easy to color-code when there's danger.</t>
        </r>
      </text>
    </comment>
    <comment ref="AI36" authorId="0" shapeId="0">
      <text>
        <r>
          <rPr>
            <b/>
            <sz val="9"/>
            <color indexed="9"/>
            <rFont val="Tahoma"/>
            <family val="2"/>
          </rPr>
          <t xml:space="preserve">Andrew M. Ross:
</t>
        </r>
        <r>
          <rPr>
            <sz val="9"/>
            <color indexed="9"/>
            <rFont val="Tahoma"/>
            <family val="2"/>
          </rPr>
          <t>location of start of Y
label. You may change it if you want. Defaults to 1 row above Y data.</t>
        </r>
      </text>
    </comment>
    <comment ref="AI37" authorId="0" shapeId="0">
      <text>
        <r>
          <rPr>
            <b/>
            <sz val="9"/>
            <color indexed="9"/>
            <rFont val="Tahoma"/>
            <family val="2"/>
          </rPr>
          <t xml:space="preserve">Andrew M. Ross:
</t>
        </r>
        <r>
          <rPr>
            <sz val="9"/>
            <color indexed="9"/>
            <rFont val="Tahoma"/>
            <family val="2"/>
          </rPr>
          <t>location of start of X labels. You may change it if you want. Defaults to 1 row above X data.</t>
        </r>
      </text>
    </comment>
    <comment ref="C41" authorId="0" shapeId="0">
      <text>
        <r>
          <rPr>
            <b/>
            <sz val="9"/>
            <color indexed="9"/>
            <rFont val="Tahoma"/>
            <family val="2"/>
          </rPr>
          <t xml:space="preserve">Andrew M. Ross:
</t>
        </r>
        <r>
          <rPr>
            <sz val="9"/>
            <color indexed="9"/>
            <rFont val="Tahoma"/>
            <family val="2"/>
          </rPr>
          <t>error code cell to make it easy to color-code when there's danger.</t>
        </r>
      </text>
    </comment>
    <comment ref="K42" authorId="0" shapeId="0">
      <text>
        <r>
          <rPr>
            <b/>
            <sz val="9"/>
            <color indexed="9"/>
            <rFont val="Tahoma"/>
            <family val="2"/>
          </rPr>
          <t xml:space="preserve">Andrew M. Ross:
</t>
        </r>
        <r>
          <rPr>
            <sz val="9"/>
            <color indexed="9"/>
            <rFont val="Tahoma"/>
            <family val="2"/>
          </rPr>
          <t>remember that different books and software packages use different methods to compute these, and get slightly different values. It's not hing to worry about.</t>
        </r>
      </text>
    </comment>
    <comment ref="M42" authorId="0" shapeId="0">
      <text>
        <r>
          <rPr>
            <b/>
            <sz val="9"/>
            <color indexed="9"/>
            <rFont val="Tahoma"/>
            <family val="2"/>
          </rPr>
          <t xml:space="preserve">Andrew M. Ross:
</t>
        </r>
        <r>
          <rPr>
            <sz val="9"/>
            <color indexed="9"/>
            <rFont val="Tahoma"/>
            <family val="2"/>
          </rPr>
          <t>count for dotplot</t>
        </r>
      </text>
    </comment>
    <comment ref="AA43" authorId="0" shapeId="0">
      <text>
        <r>
          <rPr>
            <b/>
            <sz val="9"/>
            <color indexed="9"/>
            <rFont val="Tahoma"/>
            <family val="2"/>
          </rPr>
          <t xml:space="preserve">Andrew M. Ross:
</t>
        </r>
        <r>
          <rPr>
            <sz val="9"/>
            <color indexed="9"/>
            <rFont val="Tahoma"/>
            <family val="2"/>
          </rPr>
          <t>This cell defaults to be the same as the Y variable sheet name, but can easily be changed.</t>
        </r>
      </text>
    </comment>
    <comment ref="AD43" authorId="0" shapeId="0">
      <text>
        <r>
          <rPr>
            <b/>
            <sz val="9"/>
            <color indexed="9"/>
            <rFont val="Tahoma"/>
            <family val="2"/>
          </rPr>
          <t xml:space="preserve">Andrew M. Ross:
</t>
        </r>
        <r>
          <rPr>
            <sz val="9"/>
            <color indexed="9"/>
            <rFont val="Tahoma"/>
            <family val="2"/>
          </rPr>
          <t>This cell defaults to be the same as the Y variable start row, but can easily be changed.</t>
        </r>
      </text>
    </comment>
    <comment ref="AE43" authorId="0" shapeId="0">
      <text>
        <r>
          <rPr>
            <b/>
            <sz val="9"/>
            <color indexed="9"/>
            <rFont val="Tahoma"/>
            <family val="2"/>
          </rPr>
          <t xml:space="preserve">Andrew M. Ross:
</t>
        </r>
        <r>
          <rPr>
            <sz val="9"/>
            <color indexed="9"/>
            <rFont val="Tahoma"/>
            <family val="2"/>
          </rPr>
          <t>This cell defaults to be the X start row# plus the # of rows specified for Y, but can easily be changed.</t>
        </r>
      </text>
    </comment>
  </commentList>
</comments>
</file>

<file path=xl/sharedStrings.xml><?xml version="1.0" encoding="utf-8"?>
<sst xmlns="http://schemas.openxmlformats.org/spreadsheetml/2006/main" count="218" uniqueCount="163">
  <si>
    <t>LiveRegression spreadsheet</t>
  </si>
  <si>
    <t>by Andrew Ross, Math Department, Eastern Michigan University.</t>
  </si>
  <si>
    <t>Instructions:</t>
  </si>
  <si>
    <t>Open the spreadsheet that contains the data you want. Let's call it "DataForRegression.xls" or .xlsx</t>
  </si>
  <si>
    <t>Right-click on the "LiveRegression" sheet, and select "Move or Copy".</t>
  </si>
  <si>
    <t>At the top of the dialog box, under "To book:" choose the spreadsheet that has your data (we're calling it "DataForRegression.xls" )</t>
  </si>
  <si>
    <t>Check the "Create a Copy" box near the bottom of the dialog box.</t>
  </si>
  <si>
    <t>If you like, you can choose where the new sheet will be created.</t>
  </si>
  <si>
    <t>Then click OK.</t>
  </si>
  <si>
    <t>Then switch to the spreadsheet file that contains the data you're working with,</t>
  </si>
  <si>
    <t>and look for the LiveRegression tab.</t>
  </si>
  <si>
    <t>Using the medium-blue cells, fill in the sheet name that contains the data for your regression,</t>
  </si>
  <si>
    <t>and the column and row information for it.</t>
  </si>
  <si>
    <t>The light-blue cells will default to copying information from the medium-blue cells,</t>
  </si>
  <si>
    <t>but you can change them if you need to.</t>
  </si>
  <si>
    <t>Strange characters, including spaces,  in the sheet name will be trouble!</t>
  </si>
  <si>
    <t>Ranges should not include the labels at the top of the columns.</t>
  </si>
  <si>
    <t>If you insert or delete rows or columns on the source data sheet, you will need to update</t>
  </si>
  <si>
    <t>the LiveRegression sheet by hand; it will not automatically adjust.</t>
  </si>
  <si>
    <t>Pay attention to cells that turn red or yellow/orange: nearby you will find a message to read.</t>
  </si>
  <si>
    <t>You will need to autofill-down the Residual computation block to be as long as your data set.</t>
  </si>
  <si>
    <t>The Q-Q plot involves a lot of computation (sorting the residuals from small to large).</t>
  </si>
  <si>
    <t>This could slow down the spreadsheet a fair amount.</t>
  </si>
  <si>
    <t>You might want to delete it if it seems troublesome.</t>
  </si>
  <si>
    <t>The same is true for the histogram data computation.</t>
  </si>
  <si>
    <t>x1</t>
  </si>
  <si>
    <t>x2</t>
  </si>
  <si>
    <t>y (no noise)</t>
  </si>
  <si>
    <t>noise</t>
  </si>
  <si>
    <t>y</t>
  </si>
  <si>
    <t>other data to do predictions for:</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</si>
  <si>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</si>
  <si>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</si>
  <si>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</si>
  <si>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</si>
  <si>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</si>
  <si>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</si>
  <si>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</si>
  <si>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</si>
  <si>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</si>
  <si>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</si>
  <si>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</si>
  <si>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</si>
  <si>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</si>
  <si>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</si>
  <si>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</si>
  <si>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</si>
  <si>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</si>
  <si>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</si>
  <si>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</si>
  <si>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</si>
  <si>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</si>
  <si>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90.0%</t>
  </si>
  <si>
    <t>Upper 90.0%</t>
  </si>
  <si>
    <t>Intercept</t>
  </si>
  <si>
    <t>RESIDUAL OUTPUT</t>
  </si>
  <si>
    <t>Observation</t>
  </si>
  <si>
    <t>Predicted y</t>
  </si>
  <si>
    <t>Residuals</t>
  </si>
  <si>
    <t>Standard Residuals</t>
  </si>
  <si>
    <t>LIVE SUMMARY OUTPUT</t>
  </si>
  <si>
    <t>Enter the location of your data using</t>
  </si>
  <si>
    <t>LINEST output:</t>
  </si>
  <si>
    <t>#columns (including intercept, if any):</t>
  </si>
  <si>
    <t>the medium-blue cells,</t>
  </si>
  <si>
    <t>Sheet</t>
  </si>
  <si>
    <t>ColumnStart</t>
  </si>
  <si>
    <t>ColumnEnd</t>
  </si>
  <si>
    <t>RowStart</t>
  </si>
  <si>
    <t>RowEnd</t>
  </si>
  <si>
    <t>and the light-blue cells too if necessary.</t>
  </si>
  <si>
    <t>Y variable:</t>
  </si>
  <si>
    <t>sampledata2</t>
  </si>
  <si>
    <t>G</t>
  </si>
  <si>
    <t>The main computation</t>
  </si>
  <si>
    <t>Location of start of Y data:</t>
  </si>
  <si>
    <t>X variables:</t>
  </si>
  <si>
    <t>C</t>
  </si>
  <si>
    <t>D</t>
  </si>
  <si>
    <t>happens starting in column BA,</t>
  </si>
  <si>
    <t>Location of start of X data:</t>
  </si>
  <si>
    <t xml:space="preserve">Allow constant/intercept? Enter =false or 0 for no constant, </t>
  </si>
  <si>
    <t>but you don't need to understand that</t>
  </si>
  <si>
    <t>Location of start of X labels:</t>
  </si>
  <si>
    <t>or =true or 1 (or any nonzero value) to allow a constant.</t>
  </si>
  <si>
    <t>to use this sheet.</t>
  </si>
  <si>
    <t>Location of Y label:</t>
  </si>
  <si>
    <t>It's probably best left alone.</t>
  </si>
  <si>
    <t>Location of Y data range:</t>
  </si>
  <si>
    <t># of rows in y variable:</t>
  </si>
  <si>
    <t># of rows in x variables:</t>
  </si>
  <si>
    <t>Location of X data range:</t>
  </si>
  <si>
    <t># of x variables (not including constant/intercept, if any)</t>
  </si>
  <si>
    <t>seems to be working, but not formally tested yet:</t>
  </si>
  <si>
    <t>Translated LINEST output (reversed left-to-right from above), including labels from the row just above the data set on its original sheet.</t>
  </si>
  <si>
    <t># of rows in residual computation below:</t>
  </si>
  <si>
    <t>y label:</t>
  </si>
  <si>
    <t>x labels:</t>
  </si>
  <si>
    <t>coeff:</t>
  </si>
  <si>
    <t>Correlation matrix:</t>
  </si>
  <si>
    <t>se:</t>
  </si>
  <si>
    <t>Function term</t>
  </si>
  <si>
    <t>x variable number</t>
  </si>
  <si>
    <t>greyed out=</t>
  </si>
  <si>
    <t>not</t>
  </si>
  <si>
    <t>implemented</t>
  </si>
  <si>
    <t>yet</t>
  </si>
  <si>
    <t>Locations for use with predicting other data points:</t>
  </si>
  <si>
    <t>Prediction function:</t>
  </si>
  <si>
    <t xml:space="preserve">yhat = </t>
  </si>
  <si>
    <t>Location of data for predictions of points not in the regression.</t>
  </si>
  <si>
    <t>(adjusting precision shown in "Coefficients" column above will also adjust precision shown here.)</t>
  </si>
  <si>
    <t>#rows in histogram data:</t>
  </si>
  <si>
    <t>it's okay if you don't have actual y values for these predictions.</t>
  </si>
  <si>
    <t>Histogram automatically adjusts to show all residuals, but values are then ugly.</t>
  </si>
  <si>
    <t>But you do need X variables to make predictions!</t>
  </si>
  <si>
    <t>To fix, change the first two "From" values then fill down,</t>
  </si>
  <si>
    <t>Sheet and Columns default to the same as the regression variable data above.</t>
  </si>
  <si>
    <t>Selected x column:</t>
  </si>
  <si>
    <t>perhaps extending the whole thing. Frequencies will recalculate automatically</t>
  </si>
  <si>
    <t>Rank</t>
  </si>
  <si>
    <t>Relative Rank</t>
  </si>
  <si>
    <t>1 - Relative Rank</t>
  </si>
  <si>
    <t>Normal Scores</t>
  </si>
  <si>
    <t>From</t>
  </si>
  <si>
    <t>To</t>
  </si>
  <si>
    <t>label</t>
  </si>
  <si>
    <t>Cumulative Frequency</t>
  </si>
  <si>
    <t>Frequency</t>
  </si>
  <si>
    <t>Relative Frequency</t>
  </si>
  <si>
    <t>Cumulative Relative Frequency</t>
  </si>
  <si>
    <t>Notes on Dotplotting:</t>
  </si>
  <si>
    <t>greyed out</t>
  </si>
  <si>
    <t>The original formula used to count repeated occurrences of the same value</t>
  </si>
  <si>
    <t>in the small-to-large-sorted column was</t>
  </si>
  <si>
    <t>this: =IF(G16=G15,H15+1,$H$12)</t>
  </si>
  <si>
    <t>Predictions for other data points</t>
  </si>
  <si>
    <t>In an attempt to make a dotplot version for continuous data,</t>
  </si>
  <si>
    <t>where there are no exact repeated occurrences,</t>
  </si>
  <si>
    <t>PredictionRow#</t>
  </si>
  <si>
    <t>we are now comparing rounded values instead of exact values.</t>
  </si>
  <si>
    <t>Here, you can set the level of rounding; this number is used</t>
  </si>
  <si>
    <t>as num_digits in a rounding command, as follows:</t>
  </si>
  <si>
    <t>if( round(current value, num_digits) = round(previous value, num_digits) …</t>
  </si>
  <si>
    <t>If you set this to more than 16, then effectively no rounding will occur;</t>
  </si>
  <si>
    <t>that's the default.</t>
  </si>
  <si>
    <t>The smaller you set it (could even be 0 or -1 or -2 …)</t>
  </si>
  <si>
    <t>the more things will get rounded.</t>
  </si>
  <si>
    <t>You can also set a multiplier that will help if you want to round</t>
  </si>
  <si>
    <t>to something other than a power of 10. For example, you</t>
  </si>
  <si>
    <t>might set it to 2 instead of 1 (1 is the default)</t>
  </si>
  <si>
    <t>num_digits:</t>
  </si>
  <si>
    <t>multiplier</t>
  </si>
  <si>
    <t>Five-Number Summary of Residuals</t>
  </si>
  <si>
    <t>y values to plot simple boxplot:</t>
  </si>
  <si>
    <t>min</t>
  </si>
  <si>
    <t>Quartile1</t>
  </si>
  <si>
    <t>median</t>
  </si>
  <si>
    <t>Quartile3</t>
  </si>
  <si>
    <t>max</t>
  </si>
  <si>
    <t>mean</t>
  </si>
  <si>
    <t>Y-variable name:</t>
  </si>
  <si>
    <t xml:space="preserve"> ColumnStart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</si>
</sst>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9" x14ac:knownFonts="1">
    <font>
      <sz val="11"/>
      <color indexed="8"/>
      <name val="Calibri"/>
      <family val="2"/>
    </font>
    <font>
      <sz val="10"/>
      <color indexed="8"/>
      <name val="Arial"/>
      <family val="2"/>
    </font>
    <font>
      <i/>
      <sz val="11"/>
      <color indexed="8"/>
      <name val="Calibri"/>
      <family val="2"/>
    </font>
    <font>
      <b/>
      <sz val="9"/>
      <color indexed="9"/>
      <name val="Tahoma"/>
      <family val="2"/>
    </font>
    <font>
      <sz val="9"/>
      <color indexed="9"/>
      <name val="Tahoma"/>
      <family val="2"/>
    </font>
    <font>
      <sz val="11"/>
      <color indexed="8"/>
      <name val="Calibri"/>
      <family val="2"/>
    </font>
    <font>
      <sz val="11"/>
      <color indexed="81"/>
      <name val="Calibri"/>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indexed="23"/>
        <bgColor indexed="55"/>
      </patternFill>
    </fill>
    <fill>
      <patternFill patternType="solid">
        <fgColor indexed="44"/>
        <bgColor indexed="31"/>
      </patternFill>
    </fill>
    <fill>
      <patternFill patternType="solid">
        <fgColor indexed="22"/>
        <bgColor indexed="31"/>
      </patternFill>
    </fill>
    <fill>
      <patternFill patternType="solid">
        <fgColor theme="3" tint="0.59999389629810485"/>
        <bgColor indexed="63"/>
      </patternFill>
    </fill>
    <fill>
      <patternFill patternType="solid">
        <fgColor theme="3" tint="0.79998168889431442"/>
        <bgColor indexed="22"/>
      </patternFill>
    </fill>
  </fills>
  <borders count="10">
    <border>
      <left/>
      <right/>
      <top/>
      <bottom/>
      <diagonal/>
    </border>
    <border>
      <left/>
      <right/>
      <top style="medium">
        <color indexed="63"/>
      </top>
      <bottom style="thin">
        <color indexed="63"/>
      </bottom>
      <diagonal/>
    </border>
    <border>
      <left/>
      <right/>
      <top/>
      <bottom style="medium">
        <color indexed="63"/>
      </bottom>
      <diagonal/>
    </border>
    <border>
      <left style="medium">
        <color indexed="63"/>
      </left>
      <right/>
      <top style="medium">
        <color indexed="63"/>
      </top>
      <bottom/>
      <diagonal/>
    </border>
    <border>
      <left/>
      <right/>
      <top style="medium">
        <color indexed="63"/>
      </top>
      <bottom/>
      <diagonal/>
    </border>
    <border>
      <left/>
      <right style="medium">
        <color indexed="63"/>
      </right>
      <top style="medium">
        <color indexed="63"/>
      </top>
      <bottom/>
      <diagonal/>
    </border>
    <border>
      <left style="medium">
        <color indexed="63"/>
      </left>
      <right/>
      <top/>
      <bottom/>
      <diagonal/>
    </border>
    <border>
      <left/>
      <right style="medium">
        <color indexed="63"/>
      </right>
      <top/>
      <bottom/>
      <diagonal/>
    </border>
    <border>
      <left style="medium">
        <color indexed="63"/>
      </left>
      <right/>
      <top/>
      <bottom style="medium">
        <color indexed="63"/>
      </bottom>
      <diagonal/>
    </border>
    <border>
      <left/>
      <right style="medium">
        <color indexed="63"/>
      </right>
      <top/>
      <bottom style="medium">
        <color indexed="63"/>
      </bottom>
      <diagonal/>
    </border>
  </borders>
  <cellStyleXfs count="3">
    <xf numFmtId="0" fontId="0" fillId="0" borderId="0"/>
    <xf numFmtId="0" fontId="1" fillId="0" borderId="0"/>
    <xf numFmtId="9" fontId="5" fillId="0" borderId="0" applyFill="0" applyBorder="0" applyAlignment="0" applyProtection="0"/>
  </cellStyleXfs>
  <cellXfs count="33">
    <xf numFmtId="0" fontId="0" fillId="0" borderId="0" xfId="0"/>
    <xf numFmtId="0" fontId="0" fillId="0" borderId="0" xfId="0" applyFont="1"/>
    <xf numFmtId="0" fontId="2" fillId="0" borderId="1" xfId="0" applyFont="1" applyFill="1" applyBorder="1" applyAlignment="1">
      <alignment horizontal="center"/>
    </xf>
    <xf numFmtId="0" fontId="0" fillId="0" borderId="0" xfId="0" applyFont="1" applyFill="1" applyBorder="1" applyAlignment="1"/>
    <xf numFmtId="0" fontId="0" fillId="0" borderId="2" xfId="0" applyFont="1" applyFill="1" applyBorder="1" applyAlignment="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2" xfId="0" applyBorder="1"/>
    <xf numFmtId="0" fontId="0" fillId="0" borderId="9" xfId="0" applyBorder="1"/>
    <xf numFmtId="0" fontId="2" fillId="0" borderId="0" xfId="0" applyFont="1" applyFill="1" applyBorder="1" applyAlignment="1">
      <alignment horizontal="center"/>
    </xf>
    <xf numFmtId="0" fontId="2" fillId="0" borderId="0" xfId="0" applyFont="1" applyFill="1" applyBorder="1" applyAlignment="1">
      <alignment horizontal="left"/>
    </xf>
    <xf numFmtId="0" fontId="0" fillId="2" borderId="0" xfId="0" applyFill="1" applyBorder="1" applyAlignment="1"/>
    <xf numFmtId="0" fontId="0" fillId="0" borderId="0" xfId="0" applyAlignment="1">
      <alignment wrapText="1"/>
    </xf>
    <xf numFmtId="164" fontId="0" fillId="0" borderId="0" xfId="2" applyNumberFormat="1" applyFont="1" applyFill="1" applyBorder="1" applyAlignment="1" applyProtection="1"/>
    <xf numFmtId="164" fontId="0" fillId="0" borderId="0" xfId="0" applyNumberFormat="1"/>
    <xf numFmtId="0" fontId="2" fillId="0" borderId="1" xfId="0" applyFont="1" applyFill="1" applyBorder="1" applyAlignment="1">
      <alignment horizontal="center" wrapText="1"/>
    </xf>
    <xf numFmtId="0" fontId="0" fillId="3" borderId="0" xfId="0" applyFill="1" applyAlignment="1">
      <alignment wrapText="1"/>
    </xf>
    <xf numFmtId="0" fontId="1" fillId="0" borderId="0" xfId="1" applyFont="1" applyAlignment="1">
      <alignment wrapText="1"/>
    </xf>
    <xf numFmtId="165" fontId="0" fillId="0" borderId="0" xfId="0" applyNumberFormat="1"/>
    <xf numFmtId="0" fontId="0" fillId="4" borderId="0" xfId="0" applyFill="1"/>
    <xf numFmtId="0" fontId="0" fillId="3" borderId="0" xfId="0" applyFill="1"/>
    <xf numFmtId="9" fontId="0" fillId="0" borderId="0" xfId="2" applyFont="1" applyFill="1" applyBorder="1" applyAlignment="1" applyProtection="1"/>
    <xf numFmtId="9" fontId="0" fillId="0" borderId="0" xfId="0" applyNumberFormat="1"/>
    <xf numFmtId="0" fontId="0" fillId="0" borderId="0" xfId="0" applyNumberFormat="1"/>
    <xf numFmtId="0" fontId="0" fillId="5" borderId="0" xfId="0" applyFont="1" applyFill="1"/>
    <xf numFmtId="0" fontId="0" fillId="6" borderId="0" xfId="0" applyFill="1"/>
    <xf numFmtId="0" fontId="0" fillId="0" borderId="0" xfId="0" applyFont="1" applyFill="1" applyBorder="1" applyAlignment="1">
      <alignment horizontal="left"/>
    </xf>
    <xf numFmtId="0" fontId="2" fillId="0" borderId="1" xfId="0" applyFont="1" applyFill="1" applyBorder="1" applyAlignment="1">
      <alignment horizontal="center"/>
    </xf>
  </cellXfs>
  <cellStyles count="3">
    <cellStyle name="Normal" xfId="0" builtinId="0"/>
    <cellStyle name="Normal 2" xfId="1"/>
    <cellStyle name="Percent" xfId="2" builtinId="5"/>
  </cellStyles>
  <dxfs count="5">
    <dxf>
      <font>
        <b val="0"/>
        <condense val="0"/>
        <extend val="0"/>
        <sz val="11"/>
        <color indexed="60"/>
      </font>
      <fill>
        <patternFill patternType="solid">
          <fgColor indexed="26"/>
          <bgColor indexed="43"/>
        </patternFill>
      </fill>
    </dxf>
    <dxf>
      <font>
        <b val="0"/>
        <condense val="0"/>
        <extend val="0"/>
        <sz val="11"/>
        <color indexed="8"/>
      </font>
      <fill>
        <patternFill patternType="solid">
          <fgColor indexed="60"/>
          <bgColor indexed="10"/>
        </patternFill>
      </fill>
    </dxf>
    <dxf>
      <font>
        <b val="0"/>
        <condense val="0"/>
        <extend val="0"/>
        <sz val="11"/>
        <color indexed="60"/>
      </font>
      <fill>
        <patternFill patternType="solid">
          <fgColor indexed="26"/>
          <bgColor indexed="43"/>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F81BD"/>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x1  Residual Plot</a:t>
            </a:r>
          </a:p>
        </c:rich>
      </c:tx>
      <c:layout>
        <c:manualLayout>
          <c:xMode val="edge"/>
          <c:yMode val="edge"/>
          <c:x val="0.27864665354330709"/>
          <c:y val="0.04"/>
        </c:manualLayout>
      </c:layout>
      <c:overlay val="0"/>
      <c:spPr>
        <a:noFill/>
        <a:ln w="25400">
          <a:noFill/>
        </a:ln>
      </c:spPr>
    </c:title>
    <c:autoTitleDeleted val="0"/>
    <c:plotArea>
      <c:layout>
        <c:manualLayout>
          <c:layoutTarget val="inner"/>
          <c:xMode val="edge"/>
          <c:yMode val="edge"/>
          <c:x val="0.19270882341721451"/>
          <c:y val="0.46"/>
          <c:w val="0.74218938748521801"/>
          <c:h val="0.36"/>
        </c:manualLayout>
      </c:layout>
      <c:scatterChart>
        <c:scatterStyle val="lineMarker"/>
        <c:varyColors val="0"/>
        <c:ser>
          <c:idx val="0"/>
          <c:order val="0"/>
          <c:spPr>
            <a:ln w="28575">
              <a:noFill/>
            </a:ln>
          </c:spPr>
          <c:marker>
            <c:symbol val="diamond"/>
            <c:size val="6"/>
            <c:spPr>
              <a:solidFill>
                <a:srgbClr val="666699"/>
              </a:solidFill>
              <a:ln>
                <a:solidFill>
                  <a:srgbClr val="666699"/>
                </a:solidFill>
                <a:prstDash val="solid"/>
              </a:ln>
            </c:spPr>
          </c:marker>
          <c:xVal>
            <c:numRef>
              <c:f>sampledata!$C$7:$C$16</c:f>
              <c:numCache>
                <c:formatCode>General</c:formatCode>
                <c:ptCount val="10"/>
                <c:pt idx="0">
                  <c:v>1</c:v>
                </c:pt>
                <c:pt idx="1">
                  <c:v>4</c:v>
                </c:pt>
                <c:pt idx="2">
                  <c:v>5</c:v>
                </c:pt>
                <c:pt idx="3">
                  <c:v>3</c:v>
                </c:pt>
                <c:pt idx="4">
                  <c:v>5</c:v>
                </c:pt>
                <c:pt idx="5">
                  <c:v>6</c:v>
                </c:pt>
                <c:pt idx="6">
                  <c:v>6</c:v>
                </c:pt>
                <c:pt idx="7">
                  <c:v>4</c:v>
                </c:pt>
                <c:pt idx="8">
                  <c:v>2</c:v>
                </c:pt>
                <c:pt idx="9">
                  <c:v>8</c:v>
                </c:pt>
              </c:numCache>
            </c:numRef>
          </c:xVal>
          <c:yVal>
            <c:numRef>
              <c:f>oldoutput!$C$26:$C$35</c:f>
              <c:numCache>
                <c:formatCode>General</c:formatCode>
                <c:ptCount val="10"/>
                <c:pt idx="0">
                  <c:v>-3.7780795871248074</c:v>
                </c:pt>
                <c:pt idx="1">
                  <c:v>-2.1586988999049233</c:v>
                </c:pt>
                <c:pt idx="2">
                  <c:v>1.0161618905337484</c:v>
                </c:pt>
                <c:pt idx="3">
                  <c:v>-1.5584680157544444</c:v>
                </c:pt>
                <c:pt idx="4">
                  <c:v>-0.87138394676082953</c:v>
                </c:pt>
                <c:pt idx="5">
                  <c:v>6.2384218389243493</c:v>
                </c:pt>
                <c:pt idx="6">
                  <c:v>-0.87403232378107276</c:v>
                </c:pt>
                <c:pt idx="7">
                  <c:v>-8.8036805649870935</c:v>
                </c:pt>
                <c:pt idx="8">
                  <c:v>11.154217031101458</c:v>
                </c:pt>
                <c:pt idx="9">
                  <c:v>-0.36445742224637101</c:v>
                </c:pt>
              </c:numCache>
            </c:numRef>
          </c:yVal>
          <c:smooth val="0"/>
        </c:ser>
        <c:dLbls>
          <c:showLegendKey val="0"/>
          <c:showVal val="0"/>
          <c:showCatName val="0"/>
          <c:showSerName val="0"/>
          <c:showPercent val="0"/>
          <c:showBubbleSize val="0"/>
        </c:dLbls>
        <c:axId val="303840960"/>
        <c:axId val="303841352"/>
      </c:scatterChart>
      <c:valAx>
        <c:axId val="3038409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x1</a:t>
                </a:r>
              </a:p>
            </c:rich>
          </c:tx>
          <c:layout>
            <c:manualLayout>
              <c:xMode val="edge"/>
              <c:yMode val="edge"/>
              <c:x val="0.54166803368328964"/>
              <c:y val="0.8649999999999999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41352"/>
        <c:crossesAt val="0"/>
        <c:crossBetween val="midCat"/>
      </c:valAx>
      <c:valAx>
        <c:axId val="30384135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Residuals</a:t>
                </a:r>
              </a:p>
            </c:rich>
          </c:tx>
          <c:layout>
            <c:manualLayout>
              <c:xMode val="edge"/>
              <c:yMode val="edge"/>
              <c:x val="5.4687773403324584E-2"/>
              <c:y val="0.50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40960"/>
        <c:crossesAt val="0"/>
        <c:crossBetween val="midCat"/>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x2  Residual Plot</a:t>
            </a:r>
          </a:p>
        </c:rich>
      </c:tx>
      <c:layout>
        <c:manualLayout>
          <c:xMode val="edge"/>
          <c:yMode val="edge"/>
          <c:x val="0.27864665354330709"/>
          <c:y val="0.04"/>
        </c:manualLayout>
      </c:layout>
      <c:overlay val="0"/>
      <c:spPr>
        <a:noFill/>
        <a:ln w="25400">
          <a:noFill/>
        </a:ln>
      </c:spPr>
    </c:title>
    <c:autoTitleDeleted val="0"/>
    <c:plotArea>
      <c:layout>
        <c:manualLayout>
          <c:layoutTarget val="inner"/>
          <c:xMode val="edge"/>
          <c:yMode val="edge"/>
          <c:x val="0.19270882341721451"/>
          <c:y val="0.46"/>
          <c:w val="0.75260608064290524"/>
          <c:h val="0.36"/>
        </c:manualLayout>
      </c:layout>
      <c:scatterChart>
        <c:scatterStyle val="lineMarker"/>
        <c:varyColors val="0"/>
        <c:ser>
          <c:idx val="0"/>
          <c:order val="0"/>
          <c:spPr>
            <a:ln w="28575">
              <a:noFill/>
            </a:ln>
          </c:spPr>
          <c:marker>
            <c:symbol val="diamond"/>
            <c:size val="6"/>
            <c:spPr>
              <a:solidFill>
                <a:srgbClr val="666699"/>
              </a:solidFill>
              <a:ln>
                <a:solidFill>
                  <a:srgbClr val="666699"/>
                </a:solidFill>
                <a:prstDash val="solid"/>
              </a:ln>
            </c:spPr>
          </c:marker>
          <c:xVal>
            <c:numRef>
              <c:f>sampledata!$D$7:$D$16</c:f>
              <c:numCache>
                <c:formatCode>General</c:formatCode>
                <c:ptCount val="10"/>
                <c:pt idx="0">
                  <c:v>3</c:v>
                </c:pt>
                <c:pt idx="1">
                  <c:v>7</c:v>
                </c:pt>
                <c:pt idx="2">
                  <c:v>1</c:v>
                </c:pt>
                <c:pt idx="3">
                  <c:v>3</c:v>
                </c:pt>
                <c:pt idx="4">
                  <c:v>6</c:v>
                </c:pt>
                <c:pt idx="5">
                  <c:v>6</c:v>
                </c:pt>
                <c:pt idx="6">
                  <c:v>1</c:v>
                </c:pt>
                <c:pt idx="7">
                  <c:v>5</c:v>
                </c:pt>
                <c:pt idx="8">
                  <c:v>4</c:v>
                </c:pt>
                <c:pt idx="9">
                  <c:v>5</c:v>
                </c:pt>
              </c:numCache>
            </c:numRef>
          </c:xVal>
          <c:yVal>
            <c:numRef>
              <c:f>oldoutput!$C$26:$C$35</c:f>
              <c:numCache>
                <c:formatCode>General</c:formatCode>
                <c:ptCount val="10"/>
                <c:pt idx="0">
                  <c:v>-3.7780795871248074</c:v>
                </c:pt>
                <c:pt idx="1">
                  <c:v>-2.1586988999049233</c:v>
                </c:pt>
                <c:pt idx="2">
                  <c:v>1.0161618905337484</c:v>
                </c:pt>
                <c:pt idx="3">
                  <c:v>-1.5584680157544444</c:v>
                </c:pt>
                <c:pt idx="4">
                  <c:v>-0.87138394676082953</c:v>
                </c:pt>
                <c:pt idx="5">
                  <c:v>6.2384218389243493</c:v>
                </c:pt>
                <c:pt idx="6">
                  <c:v>-0.87403232378107276</c:v>
                </c:pt>
                <c:pt idx="7">
                  <c:v>-8.8036805649870935</c:v>
                </c:pt>
                <c:pt idx="8">
                  <c:v>11.154217031101458</c:v>
                </c:pt>
                <c:pt idx="9">
                  <c:v>-0.36445742224637101</c:v>
                </c:pt>
              </c:numCache>
            </c:numRef>
          </c:yVal>
          <c:smooth val="0"/>
        </c:ser>
        <c:dLbls>
          <c:showLegendKey val="0"/>
          <c:showVal val="0"/>
          <c:showCatName val="0"/>
          <c:showSerName val="0"/>
          <c:showPercent val="0"/>
          <c:showBubbleSize val="0"/>
        </c:dLbls>
        <c:axId val="304945056"/>
        <c:axId val="304945448"/>
      </c:scatterChart>
      <c:valAx>
        <c:axId val="3049450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x2</a:t>
                </a:r>
              </a:p>
            </c:rich>
          </c:tx>
          <c:layout>
            <c:manualLayout>
              <c:xMode val="edge"/>
              <c:yMode val="edge"/>
              <c:x val="0.54687636701662301"/>
              <c:y val="0.8649999999999999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4945448"/>
        <c:crossesAt val="0"/>
        <c:crossBetween val="midCat"/>
      </c:valAx>
      <c:valAx>
        <c:axId val="30494544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Residuals</a:t>
                </a:r>
              </a:p>
            </c:rich>
          </c:tx>
          <c:layout>
            <c:manualLayout>
              <c:xMode val="edge"/>
              <c:yMode val="edge"/>
              <c:x val="5.4687773403324584E-2"/>
              <c:y val="0.50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4945056"/>
        <c:crossesAt val="0"/>
        <c:crossBetween val="midCat"/>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x1 Line Fit  Plot</a:t>
            </a:r>
          </a:p>
        </c:rich>
      </c:tx>
      <c:layout>
        <c:manualLayout>
          <c:xMode val="edge"/>
          <c:yMode val="edge"/>
          <c:x val="0.30468832020997377"/>
          <c:y val="4.0201005025125629E-2"/>
        </c:manualLayout>
      </c:layout>
      <c:overlay val="0"/>
      <c:spPr>
        <a:noFill/>
        <a:ln w="25400">
          <a:noFill/>
        </a:ln>
      </c:spPr>
    </c:title>
    <c:autoTitleDeleted val="0"/>
    <c:plotArea>
      <c:layout>
        <c:manualLayout>
          <c:layoutTarget val="inner"/>
          <c:xMode val="edge"/>
          <c:yMode val="edge"/>
          <c:x val="0.20312551657490177"/>
          <c:y val="0.46231269215386539"/>
          <c:w val="0.49739709827956718"/>
          <c:h val="0.3668350709481758"/>
        </c:manualLayout>
      </c:layout>
      <c:scatterChart>
        <c:scatterStyle val="lineMarker"/>
        <c:varyColors val="0"/>
        <c:ser>
          <c:idx val="0"/>
          <c:order val="0"/>
          <c:spPr>
            <a:ln w="28575">
              <a:noFill/>
            </a:ln>
          </c:spPr>
          <c:marker>
            <c:symbol val="diamond"/>
            <c:size val="6"/>
            <c:spPr>
              <a:solidFill>
                <a:srgbClr val="666699"/>
              </a:solidFill>
              <a:ln>
                <a:solidFill>
                  <a:srgbClr val="666699"/>
                </a:solidFill>
                <a:prstDash val="solid"/>
              </a:ln>
            </c:spPr>
          </c:marker>
          <c:xVal>
            <c:numRef>
              <c:f>sampledata!$C$7:$C$16</c:f>
              <c:numCache>
                <c:formatCode>General</c:formatCode>
                <c:ptCount val="10"/>
                <c:pt idx="0">
                  <c:v>1</c:v>
                </c:pt>
                <c:pt idx="1">
                  <c:v>4</c:v>
                </c:pt>
                <c:pt idx="2">
                  <c:v>5</c:v>
                </c:pt>
                <c:pt idx="3">
                  <c:v>3</c:v>
                </c:pt>
                <c:pt idx="4">
                  <c:v>5</c:v>
                </c:pt>
                <c:pt idx="5">
                  <c:v>6</c:v>
                </c:pt>
                <c:pt idx="6">
                  <c:v>6</c:v>
                </c:pt>
                <c:pt idx="7">
                  <c:v>4</c:v>
                </c:pt>
                <c:pt idx="8">
                  <c:v>2</c:v>
                </c:pt>
                <c:pt idx="9">
                  <c:v>8</c:v>
                </c:pt>
              </c:numCache>
            </c:numRef>
          </c:xVal>
          <c:yVal>
            <c:numRef>
              <c:f>sampledata!$G$7:$G$16</c:f>
              <c:numCache>
                <c:formatCode>General</c:formatCode>
                <c:ptCount val="10"/>
                <c:pt idx="0">
                  <c:v>-1</c:v>
                </c:pt>
                <c:pt idx="1">
                  <c:v>-3</c:v>
                </c:pt>
                <c:pt idx="2">
                  <c:v>27</c:v>
                </c:pt>
                <c:pt idx="3">
                  <c:v>9</c:v>
                </c:pt>
                <c:pt idx="4">
                  <c:v>6</c:v>
                </c:pt>
                <c:pt idx="5">
                  <c:v>17</c:v>
                </c:pt>
                <c:pt idx="6">
                  <c:v>29</c:v>
                </c:pt>
                <c:pt idx="7">
                  <c:v>-2</c:v>
                </c:pt>
                <c:pt idx="8">
                  <c:v>14</c:v>
                </c:pt>
                <c:pt idx="9">
                  <c:v>22</c:v>
                </c:pt>
              </c:numCache>
            </c:numRef>
          </c:yVal>
          <c:smooth val="0"/>
        </c:ser>
        <c:ser>
          <c:idx val="1"/>
          <c:order val="1"/>
          <c:spPr>
            <a:ln w="28575">
              <a:noFill/>
            </a:ln>
          </c:spPr>
          <c:marker>
            <c:symbol val="square"/>
            <c:size val="6"/>
            <c:spPr>
              <a:solidFill>
                <a:srgbClr val="993366"/>
              </a:solidFill>
              <a:ln>
                <a:solidFill>
                  <a:srgbClr val="993366"/>
                </a:solidFill>
                <a:prstDash val="solid"/>
              </a:ln>
            </c:spPr>
          </c:marker>
          <c:xVal>
            <c:numRef>
              <c:f>sampledata!$C$7:$C$16</c:f>
              <c:numCache>
                <c:formatCode>General</c:formatCode>
                <c:ptCount val="10"/>
                <c:pt idx="0">
                  <c:v>1</c:v>
                </c:pt>
                <c:pt idx="1">
                  <c:v>4</c:v>
                </c:pt>
                <c:pt idx="2">
                  <c:v>5</c:v>
                </c:pt>
                <c:pt idx="3">
                  <c:v>3</c:v>
                </c:pt>
                <c:pt idx="4">
                  <c:v>5</c:v>
                </c:pt>
                <c:pt idx="5">
                  <c:v>6</c:v>
                </c:pt>
                <c:pt idx="6">
                  <c:v>6</c:v>
                </c:pt>
                <c:pt idx="7">
                  <c:v>4</c:v>
                </c:pt>
                <c:pt idx="8">
                  <c:v>2</c:v>
                </c:pt>
                <c:pt idx="9">
                  <c:v>8</c:v>
                </c:pt>
              </c:numCache>
            </c:numRef>
          </c:xVal>
          <c:yVal>
            <c:numRef>
              <c:f>oldoutput!$B$26:$B$35</c:f>
              <c:numCache>
                <c:formatCode>General</c:formatCode>
                <c:ptCount val="10"/>
                <c:pt idx="0">
                  <c:v>2.7780795871248074</c:v>
                </c:pt>
                <c:pt idx="1">
                  <c:v>-0.84130110009507675</c:v>
                </c:pt>
                <c:pt idx="2">
                  <c:v>25.983838109466252</c:v>
                </c:pt>
                <c:pt idx="3">
                  <c:v>10.558468015754444</c:v>
                </c:pt>
                <c:pt idx="4">
                  <c:v>6.8713839467608295</c:v>
                </c:pt>
                <c:pt idx="5">
                  <c:v>10.761578161075651</c:v>
                </c:pt>
                <c:pt idx="6">
                  <c:v>29.874032323781073</c:v>
                </c:pt>
                <c:pt idx="7">
                  <c:v>6.8036805649870935</c:v>
                </c:pt>
                <c:pt idx="8">
                  <c:v>2.8457829688985417</c:v>
                </c:pt>
                <c:pt idx="9">
                  <c:v>22.364457422246371</c:v>
                </c:pt>
              </c:numCache>
            </c:numRef>
          </c:yVal>
          <c:smooth val="0"/>
        </c:ser>
        <c:dLbls>
          <c:showLegendKey val="0"/>
          <c:showVal val="0"/>
          <c:showCatName val="0"/>
          <c:showSerName val="0"/>
          <c:showPercent val="0"/>
          <c:showBubbleSize val="0"/>
        </c:dLbls>
        <c:axId val="304946232"/>
        <c:axId val="304946624"/>
      </c:scatterChart>
      <c:valAx>
        <c:axId val="3049462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x1</a:t>
                </a:r>
              </a:p>
            </c:rich>
          </c:tx>
          <c:layout>
            <c:manualLayout>
              <c:xMode val="edge"/>
              <c:yMode val="edge"/>
              <c:x val="0.42968859361329836"/>
              <c:y val="0.8643237183291786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4946624"/>
        <c:crossesAt val="0"/>
        <c:crossBetween val="midCat"/>
      </c:valAx>
      <c:valAx>
        <c:axId val="304946624"/>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y</a:t>
                </a:r>
              </a:p>
            </c:rich>
          </c:tx>
          <c:layout>
            <c:manualLayout>
              <c:xMode val="edge"/>
              <c:yMode val="edge"/>
              <c:x val="6.5104440069991248E-2"/>
              <c:y val="0.61809203497803988"/>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4946232"/>
        <c:crossesAt val="0"/>
        <c:crossBetween val="midCat"/>
      </c:valAx>
      <c:spPr>
        <a:solidFill>
          <a:srgbClr val="FFFFFF"/>
        </a:solidFill>
        <a:ln w="25400">
          <a:noFill/>
        </a:ln>
      </c:spPr>
    </c:plotArea>
    <c:legend>
      <c:legendPos val="r"/>
      <c:layout>
        <c:manualLayout>
          <c:xMode val="edge"/>
          <c:yMode val="edge"/>
          <c:x val="0.72396024715660545"/>
          <c:y val="0.55276540181221068"/>
          <c:w val="0.21614638013998255"/>
          <c:h val="0.2412065577229981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x2 Line Fit  Plot</a:t>
            </a:r>
          </a:p>
        </c:rich>
      </c:tx>
      <c:layout>
        <c:manualLayout>
          <c:xMode val="edge"/>
          <c:yMode val="edge"/>
          <c:x val="0.30468832020997377"/>
          <c:y val="0.04"/>
        </c:manualLayout>
      </c:layout>
      <c:overlay val="0"/>
      <c:spPr>
        <a:noFill/>
        <a:ln w="25400">
          <a:noFill/>
        </a:ln>
      </c:spPr>
    </c:title>
    <c:autoTitleDeleted val="0"/>
    <c:plotArea>
      <c:layout>
        <c:manualLayout>
          <c:layoutTarget val="inner"/>
          <c:xMode val="edge"/>
          <c:yMode val="edge"/>
          <c:x val="0.20312551657490177"/>
          <c:y val="0.46"/>
          <c:w val="0.50781379143725447"/>
          <c:h val="0.37"/>
        </c:manualLayout>
      </c:layout>
      <c:scatterChart>
        <c:scatterStyle val="lineMarker"/>
        <c:varyColors val="0"/>
        <c:ser>
          <c:idx val="0"/>
          <c:order val="0"/>
          <c:spPr>
            <a:ln w="28575">
              <a:noFill/>
            </a:ln>
          </c:spPr>
          <c:marker>
            <c:symbol val="diamond"/>
            <c:size val="6"/>
            <c:spPr>
              <a:solidFill>
                <a:srgbClr val="666699"/>
              </a:solidFill>
              <a:ln>
                <a:solidFill>
                  <a:srgbClr val="666699"/>
                </a:solidFill>
                <a:prstDash val="solid"/>
              </a:ln>
            </c:spPr>
          </c:marker>
          <c:xVal>
            <c:numRef>
              <c:f>sampledata!$D$7:$D$16</c:f>
              <c:numCache>
                <c:formatCode>General</c:formatCode>
                <c:ptCount val="10"/>
                <c:pt idx="0">
                  <c:v>3</c:v>
                </c:pt>
                <c:pt idx="1">
                  <c:v>7</c:v>
                </c:pt>
                <c:pt idx="2">
                  <c:v>1</c:v>
                </c:pt>
                <c:pt idx="3">
                  <c:v>3</c:v>
                </c:pt>
                <c:pt idx="4">
                  <c:v>6</c:v>
                </c:pt>
                <c:pt idx="5">
                  <c:v>6</c:v>
                </c:pt>
                <c:pt idx="6">
                  <c:v>1</c:v>
                </c:pt>
                <c:pt idx="7">
                  <c:v>5</c:v>
                </c:pt>
                <c:pt idx="8">
                  <c:v>4</c:v>
                </c:pt>
                <c:pt idx="9">
                  <c:v>5</c:v>
                </c:pt>
              </c:numCache>
            </c:numRef>
          </c:xVal>
          <c:yVal>
            <c:numRef>
              <c:f>sampledata!$G$7:$G$16</c:f>
              <c:numCache>
                <c:formatCode>General</c:formatCode>
                <c:ptCount val="10"/>
                <c:pt idx="0">
                  <c:v>-1</c:v>
                </c:pt>
                <c:pt idx="1">
                  <c:v>-3</c:v>
                </c:pt>
                <c:pt idx="2">
                  <c:v>27</c:v>
                </c:pt>
                <c:pt idx="3">
                  <c:v>9</c:v>
                </c:pt>
                <c:pt idx="4">
                  <c:v>6</c:v>
                </c:pt>
                <c:pt idx="5">
                  <c:v>17</c:v>
                </c:pt>
                <c:pt idx="6">
                  <c:v>29</c:v>
                </c:pt>
                <c:pt idx="7">
                  <c:v>-2</c:v>
                </c:pt>
                <c:pt idx="8">
                  <c:v>14</c:v>
                </c:pt>
                <c:pt idx="9">
                  <c:v>22</c:v>
                </c:pt>
              </c:numCache>
            </c:numRef>
          </c:yVal>
          <c:smooth val="0"/>
        </c:ser>
        <c:ser>
          <c:idx val="1"/>
          <c:order val="1"/>
          <c:spPr>
            <a:ln w="28575">
              <a:noFill/>
            </a:ln>
          </c:spPr>
          <c:marker>
            <c:symbol val="square"/>
            <c:size val="6"/>
            <c:spPr>
              <a:solidFill>
                <a:srgbClr val="993366"/>
              </a:solidFill>
              <a:ln>
                <a:solidFill>
                  <a:srgbClr val="993366"/>
                </a:solidFill>
                <a:prstDash val="solid"/>
              </a:ln>
            </c:spPr>
          </c:marker>
          <c:xVal>
            <c:numRef>
              <c:f>sampledata!$D$7:$D$16</c:f>
              <c:numCache>
                <c:formatCode>General</c:formatCode>
                <c:ptCount val="10"/>
                <c:pt idx="0">
                  <c:v>3</c:v>
                </c:pt>
                <c:pt idx="1">
                  <c:v>7</c:v>
                </c:pt>
                <c:pt idx="2">
                  <c:v>1</c:v>
                </c:pt>
                <c:pt idx="3">
                  <c:v>3</c:v>
                </c:pt>
                <c:pt idx="4">
                  <c:v>6</c:v>
                </c:pt>
                <c:pt idx="5">
                  <c:v>6</c:v>
                </c:pt>
                <c:pt idx="6">
                  <c:v>1</c:v>
                </c:pt>
                <c:pt idx="7">
                  <c:v>5</c:v>
                </c:pt>
                <c:pt idx="8">
                  <c:v>4</c:v>
                </c:pt>
                <c:pt idx="9">
                  <c:v>5</c:v>
                </c:pt>
              </c:numCache>
            </c:numRef>
          </c:xVal>
          <c:yVal>
            <c:numRef>
              <c:f>oldoutput!$B$26:$B$35</c:f>
              <c:numCache>
                <c:formatCode>General</c:formatCode>
                <c:ptCount val="10"/>
                <c:pt idx="0">
                  <c:v>2.7780795871248074</c:v>
                </c:pt>
                <c:pt idx="1">
                  <c:v>-0.84130110009507675</c:v>
                </c:pt>
                <c:pt idx="2">
                  <c:v>25.983838109466252</c:v>
                </c:pt>
                <c:pt idx="3">
                  <c:v>10.558468015754444</c:v>
                </c:pt>
                <c:pt idx="4">
                  <c:v>6.8713839467608295</c:v>
                </c:pt>
                <c:pt idx="5">
                  <c:v>10.761578161075651</c:v>
                </c:pt>
                <c:pt idx="6">
                  <c:v>29.874032323781073</c:v>
                </c:pt>
                <c:pt idx="7">
                  <c:v>6.8036805649870935</c:v>
                </c:pt>
                <c:pt idx="8">
                  <c:v>2.8457829688985417</c:v>
                </c:pt>
                <c:pt idx="9">
                  <c:v>22.364457422246371</c:v>
                </c:pt>
              </c:numCache>
            </c:numRef>
          </c:yVal>
          <c:smooth val="0"/>
        </c:ser>
        <c:dLbls>
          <c:showLegendKey val="0"/>
          <c:showVal val="0"/>
          <c:showCatName val="0"/>
          <c:showSerName val="0"/>
          <c:showPercent val="0"/>
          <c:showBubbleSize val="0"/>
        </c:dLbls>
        <c:axId val="304947408"/>
        <c:axId val="304947800"/>
      </c:scatterChart>
      <c:valAx>
        <c:axId val="3049474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x2</a:t>
                </a:r>
              </a:p>
            </c:rich>
          </c:tx>
          <c:layout>
            <c:manualLayout>
              <c:xMode val="edge"/>
              <c:yMode val="edge"/>
              <c:x val="0.43489692694663168"/>
              <c:y val="0.8649999999999999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4947800"/>
        <c:crossesAt val="0"/>
        <c:crossBetween val="midCat"/>
      </c:valAx>
      <c:valAx>
        <c:axId val="30494780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y</a:t>
                </a:r>
              </a:p>
            </c:rich>
          </c:tx>
          <c:layout>
            <c:manualLayout>
              <c:xMode val="edge"/>
              <c:yMode val="edge"/>
              <c:x val="6.5104440069991248E-2"/>
              <c:y val="0.6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4947408"/>
        <c:crossesAt val="0"/>
        <c:crossBetween val="midCat"/>
      </c:valAx>
      <c:spPr>
        <a:solidFill>
          <a:srgbClr val="FFFFFF"/>
        </a:solidFill>
        <a:ln w="25400">
          <a:noFill/>
        </a:ln>
      </c:spPr>
    </c:plotArea>
    <c:legend>
      <c:legendPos val="r"/>
      <c:layout>
        <c:manualLayout>
          <c:xMode val="edge"/>
          <c:yMode val="edge"/>
          <c:x val="0.72916858048993882"/>
          <c:y val="0.55500000000000005"/>
          <c:w val="0.21614638013998255"/>
          <c:h val="0.24"/>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Histogram of Residuals</a:t>
            </a:r>
          </a:p>
        </c:rich>
      </c:tx>
      <c:layout>
        <c:manualLayout>
          <c:xMode val="edge"/>
          <c:yMode val="edge"/>
          <c:x val="0.20963880719729311"/>
          <c:y val="2.7777777777777776E-2"/>
        </c:manualLayout>
      </c:layout>
      <c:overlay val="0"/>
      <c:spPr>
        <a:noFill/>
        <a:ln w="25400">
          <a:noFill/>
        </a:ln>
      </c:spPr>
    </c:title>
    <c:autoTitleDeleted val="0"/>
    <c:plotArea>
      <c:layout>
        <c:manualLayout>
          <c:layoutTarget val="inner"/>
          <c:xMode val="edge"/>
          <c:yMode val="edge"/>
          <c:x val="0.17831346281233859"/>
          <c:y val="0.3298622296218181"/>
          <c:w val="0.57349465066671057"/>
          <c:h val="0.35416786759395208"/>
        </c:manualLayout>
      </c:layout>
      <c:barChart>
        <c:barDir val="col"/>
        <c:grouping val="clustered"/>
        <c:varyColors val="0"/>
        <c:ser>
          <c:idx val="0"/>
          <c:order val="0"/>
          <c:tx>
            <c:strRef>
              <c:f>LiveRegression!$S$42</c:f>
              <c:strCache>
                <c:ptCount val="1"/>
                <c:pt idx="0">
                  <c:v>Frequency</c:v>
                </c:pt>
              </c:strCache>
            </c:strRef>
          </c:tx>
          <c:spPr>
            <a:solidFill>
              <a:srgbClr val="4F81BD"/>
            </a:solidFill>
            <a:ln w="25400">
              <a:noFill/>
            </a:ln>
          </c:spPr>
          <c:invertIfNegative val="0"/>
          <c:cat>
            <c:strRef>
              <c:f>LiveRegression!$Q$43:$Q$55</c:f>
              <c:strCache>
                <c:ptCount val="13"/>
                <c:pt idx="0">
                  <c:v>&lt;-6.80789080537824</c:v>
                </c:pt>
                <c:pt idx="1">
                  <c:v>-6.80789080537824 to &lt;-4.81210104576938</c:v>
                </c:pt>
                <c:pt idx="2">
                  <c:v>-4.81210104576938 to &lt;-2.81631128616053</c:v>
                </c:pt>
                <c:pt idx="3">
                  <c:v>-2.81631128616053 to &lt;-0.820521526551672</c:v>
                </c:pt>
                <c:pt idx="4">
                  <c:v>-0.820521526551672 to &lt;1.17526823305718</c:v>
                </c:pt>
                <c:pt idx="5">
                  <c:v>1.17526823305718 to &lt;3.17105799266604</c:v>
                </c:pt>
                <c:pt idx="6">
                  <c:v>3.17105799266604 to &lt;5.1668477522749</c:v>
                </c:pt>
                <c:pt idx="7">
                  <c:v>5.1668477522749 to &lt;7.16263751188375</c:v>
                </c:pt>
                <c:pt idx="8">
                  <c:v>7.16263751188375 to &lt;9.15842727149261</c:v>
                </c:pt>
                <c:pt idx="9">
                  <c:v>9.15842727149261 to &lt;11.1542170311015</c:v>
                </c:pt>
                <c:pt idx="10">
                  <c:v>11.1542170311015 to &lt;13.1500067907103</c:v>
                </c:pt>
                <c:pt idx="11">
                  <c:v>13.1500067907103 to &lt;15.1457965503192</c:v>
                </c:pt>
                <c:pt idx="12">
                  <c:v>15.1457965503192 to &lt;17.141586309928</c:v>
                </c:pt>
              </c:strCache>
            </c:strRef>
          </c:cat>
          <c:val>
            <c:numRef>
              <c:f>LiveRegression!$S$43:$S$55</c:f>
              <c:numCache>
                <c:formatCode>General</c:formatCode>
                <c:ptCount val="13"/>
                <c:pt idx="0">
                  <c:v>1</c:v>
                </c:pt>
                <c:pt idx="1">
                  <c:v>0</c:v>
                </c:pt>
                <c:pt idx="2">
                  <c:v>1</c:v>
                </c:pt>
                <c:pt idx="3">
                  <c:v>4</c:v>
                </c:pt>
                <c:pt idx="4">
                  <c:v>2</c:v>
                </c:pt>
                <c:pt idx="5">
                  <c:v>0</c:v>
                </c:pt>
                <c:pt idx="6">
                  <c:v>0</c:v>
                </c:pt>
                <c:pt idx="7">
                  <c:v>1</c:v>
                </c:pt>
                <c:pt idx="8">
                  <c:v>0</c:v>
                </c:pt>
                <c:pt idx="9">
                  <c:v>0</c:v>
                </c:pt>
                <c:pt idx="10">
                  <c:v>1</c:v>
                </c:pt>
                <c:pt idx="11">
                  <c:v>0</c:v>
                </c:pt>
                <c:pt idx="12">
                  <c:v>0</c:v>
                </c:pt>
              </c:numCache>
            </c:numRef>
          </c:val>
        </c:ser>
        <c:dLbls>
          <c:showLegendKey val="0"/>
          <c:showVal val="0"/>
          <c:showCatName val="0"/>
          <c:showSerName val="0"/>
          <c:showPercent val="0"/>
          <c:showBubbleSize val="0"/>
        </c:dLbls>
        <c:gapWidth val="150"/>
        <c:axId val="301673512"/>
        <c:axId val="303494608"/>
      </c:barChart>
      <c:catAx>
        <c:axId val="3016735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37349448186446571"/>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03494608"/>
        <c:crossesAt val="0"/>
        <c:auto val="1"/>
        <c:lblAlgn val="ctr"/>
        <c:lblOffset val="100"/>
        <c:tickLblSkip val="2"/>
        <c:tickMarkSkip val="1"/>
        <c:noMultiLvlLbl val="0"/>
      </c:catAx>
      <c:valAx>
        <c:axId val="30349460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Axis Title</a:t>
                </a:r>
              </a:p>
            </c:rich>
          </c:tx>
          <c:layout>
            <c:manualLayout>
              <c:xMode val="edge"/>
              <c:yMode val="edge"/>
              <c:x val="5.3012048192771083E-2"/>
              <c:y val="0.4166681248177311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1673512"/>
        <c:crossesAt val="1"/>
        <c:crossBetween val="between"/>
      </c:valAx>
      <c:spPr>
        <a:solidFill>
          <a:srgbClr val="FFFFFF"/>
        </a:solidFill>
        <a:ln w="25400">
          <a:noFill/>
        </a:ln>
      </c:spPr>
    </c:plotArea>
    <c:legend>
      <c:legendPos val="r"/>
      <c:layout>
        <c:manualLayout>
          <c:xMode val="edge"/>
          <c:yMode val="edge"/>
          <c:x val="0.76144679505423263"/>
          <c:y val="0.70139144065325165"/>
          <c:w val="0.19036169876355813"/>
          <c:h val="8.333369787109945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Residuals of y</a:t>
            </a:r>
          </a:p>
        </c:rich>
      </c:tx>
      <c:layout>
        <c:manualLayout>
          <c:xMode val="edge"/>
          <c:yMode val="edge"/>
          <c:x val="0.32458233890214799"/>
          <c:y val="2.4734982332155476E-2"/>
        </c:manualLayout>
      </c:layout>
      <c:overlay val="0"/>
      <c:spPr>
        <a:noFill/>
        <a:ln w="25400">
          <a:noFill/>
        </a:ln>
      </c:spPr>
    </c:title>
    <c:autoTitleDeleted val="0"/>
    <c:plotArea>
      <c:layout>
        <c:manualLayout>
          <c:layoutTarget val="inner"/>
          <c:xMode val="edge"/>
          <c:yMode val="edge"/>
          <c:x val="9.5465393794749401E-2"/>
          <c:y val="0.33568962512703099"/>
          <c:w val="0.55131264916467781"/>
          <c:h val="0.44523045016848323"/>
        </c:manualLayout>
      </c:layout>
      <c:scatterChart>
        <c:scatterStyle val="lineMarker"/>
        <c:varyColors val="0"/>
        <c:ser>
          <c:idx val="0"/>
          <c:order val="0"/>
          <c:tx>
            <c:v>Skeletal Boxplot</c:v>
          </c:tx>
          <c:spPr>
            <a:ln w="25400">
              <a:solidFill>
                <a:srgbClr val="666699"/>
              </a:solidFill>
              <a:prstDash val="solid"/>
            </a:ln>
          </c:spPr>
          <c:marker>
            <c:symbol val="diamond"/>
            <c:size val="6"/>
            <c:spPr>
              <a:solidFill>
                <a:srgbClr val="666699"/>
              </a:solidFill>
              <a:ln>
                <a:solidFill>
                  <a:srgbClr val="666699"/>
                </a:solidFill>
                <a:prstDash val="solid"/>
              </a:ln>
            </c:spPr>
          </c:marker>
          <c:xVal>
            <c:numRef>
              <c:f>LiveRegression!$W$74:$W$78</c:f>
              <c:numCache>
                <c:formatCode>General</c:formatCode>
                <c:ptCount val="5"/>
                <c:pt idx="0">
                  <c:v>-8.8036805649870953</c:v>
                </c:pt>
                <c:pt idx="1">
                  <c:v>-2.0086411788673049</c:v>
                </c:pt>
                <c:pt idx="2">
                  <c:v>-0.87270813527094937</c:v>
                </c:pt>
                <c:pt idx="3">
                  <c:v>0.67100706233871854</c:v>
                </c:pt>
                <c:pt idx="4">
                  <c:v>11.15421703110146</c:v>
                </c:pt>
              </c:numCache>
            </c:numRef>
          </c:xVal>
          <c:yVal>
            <c:numRef>
              <c:f>LiveRegression!$X$74:$X$78</c:f>
              <c:numCache>
                <c:formatCode>General</c:formatCode>
                <c:ptCount val="5"/>
                <c:pt idx="0">
                  <c:v>1.1000000000000001</c:v>
                </c:pt>
                <c:pt idx="1">
                  <c:v>1.1000000000000001</c:v>
                </c:pt>
                <c:pt idx="2">
                  <c:v>1.1000000000000001</c:v>
                </c:pt>
                <c:pt idx="3">
                  <c:v>1.1000000000000001</c:v>
                </c:pt>
                <c:pt idx="4">
                  <c:v>1.1000000000000001</c:v>
                </c:pt>
              </c:numCache>
            </c:numRef>
          </c:yVal>
          <c:smooth val="0"/>
        </c:ser>
        <c:ser>
          <c:idx val="1"/>
          <c:order val="1"/>
          <c:tx>
            <c:strRef>
              <c:f>LiveRegression!$M$42</c:f>
              <c:strCache>
                <c:ptCount val="1"/>
                <c:pt idx="0">
                  <c:v>Residuals of y</c:v>
                </c:pt>
              </c:strCache>
            </c:strRef>
          </c:tx>
          <c:spPr>
            <a:ln w="28575">
              <a:noFill/>
            </a:ln>
          </c:spPr>
          <c:marker>
            <c:symbol val="square"/>
            <c:size val="6"/>
            <c:spPr>
              <a:solidFill>
                <a:srgbClr val="993366"/>
              </a:solidFill>
              <a:ln>
                <a:solidFill>
                  <a:srgbClr val="993366"/>
                </a:solidFill>
                <a:prstDash val="solid"/>
              </a:ln>
            </c:spPr>
          </c:marker>
          <c:xVal>
            <c:numRef>
              <c:f>LiveRegression!$L$43:$L$79</c:f>
              <c:numCache>
                <c:formatCode>General</c:formatCode>
                <c:ptCount val="37"/>
                <c:pt idx="0">
                  <c:v>-8.8036805649870953</c:v>
                </c:pt>
                <c:pt idx="1">
                  <c:v>-3.7780795871248074</c:v>
                </c:pt>
                <c:pt idx="2">
                  <c:v>-2.158698899904925</c:v>
                </c:pt>
                <c:pt idx="3">
                  <c:v>-1.5584680157544444</c:v>
                </c:pt>
                <c:pt idx="4">
                  <c:v>-0.87403232378106921</c:v>
                </c:pt>
                <c:pt idx="5">
                  <c:v>-0.87138394676082953</c:v>
                </c:pt>
                <c:pt idx="6">
                  <c:v>-0.36445742224637101</c:v>
                </c:pt>
                <c:pt idx="7">
                  <c:v>1.0161618905337484</c:v>
                </c:pt>
                <c:pt idx="8">
                  <c:v>6.2384218389243529</c:v>
                </c:pt>
                <c:pt idx="9">
                  <c:v>11.15421703110146</c:v>
                </c:pt>
              </c:numCache>
            </c:numRef>
          </c:xVal>
          <c:yVal>
            <c:numRef>
              <c:f>LiveRegression!$M$43:$M$79</c:f>
              <c:numCache>
                <c:formatCode>General</c:formatCode>
                <c:ptCount val="37"/>
                <c:pt idx="0">
                  <c:v>1</c:v>
                </c:pt>
                <c:pt idx="1">
                  <c:v>1</c:v>
                </c:pt>
                <c:pt idx="2">
                  <c:v>1</c:v>
                </c:pt>
                <c:pt idx="3">
                  <c:v>1</c:v>
                </c:pt>
                <c:pt idx="4">
                  <c:v>1</c:v>
                </c:pt>
                <c:pt idx="5">
                  <c:v>1</c:v>
                </c:pt>
                <c:pt idx="6">
                  <c:v>1</c:v>
                </c:pt>
                <c:pt idx="7">
                  <c:v>1</c:v>
                </c:pt>
                <c:pt idx="8">
                  <c:v>1</c:v>
                </c:pt>
                <c:pt idx="9">
                  <c:v>1</c:v>
                </c:pt>
              </c:numCache>
            </c:numRef>
          </c:yVal>
          <c:smooth val="0"/>
        </c:ser>
        <c:dLbls>
          <c:showLegendKey val="0"/>
          <c:showVal val="0"/>
          <c:showCatName val="0"/>
          <c:showSerName val="0"/>
          <c:showPercent val="0"/>
          <c:showBubbleSize val="0"/>
        </c:dLbls>
        <c:axId val="302007032"/>
        <c:axId val="302007424"/>
      </c:scatterChart>
      <c:valAx>
        <c:axId val="3020070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7923627684964203"/>
              <c:y val="0.8904608478710478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2007424"/>
        <c:crossesAt val="0"/>
        <c:crossBetween val="midCat"/>
      </c:valAx>
      <c:valAx>
        <c:axId val="302007424"/>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Dotplot count</a:t>
                </a:r>
              </a:p>
            </c:rich>
          </c:tx>
          <c:layout>
            <c:manualLayout>
              <c:xMode val="edge"/>
              <c:yMode val="edge"/>
              <c:x val="1.4319809069212411E-2"/>
              <c:y val="0.4169618726987748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2007032"/>
        <c:crossesAt val="0"/>
        <c:crossBetween val="midCat"/>
      </c:valAx>
      <c:spPr>
        <a:solidFill>
          <a:srgbClr val="FFFFFF"/>
        </a:solidFill>
        <a:ln w="25400">
          <a:noFill/>
        </a:ln>
      </c:spPr>
    </c:plotArea>
    <c:legend>
      <c:legendPos val="r"/>
      <c:layout>
        <c:manualLayout>
          <c:xMode val="edge"/>
          <c:yMode val="edge"/>
          <c:x val="0.65155131264916466"/>
          <c:y val="0.52650250874117765"/>
          <c:w val="0.28400954653937949"/>
          <c:h val="0.16961167839885738"/>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Cumulative Relative Frequency of Residuals</a:t>
            </a:r>
          </a:p>
        </c:rich>
      </c:tx>
      <c:layout>
        <c:manualLayout>
          <c:xMode val="edge"/>
          <c:yMode val="edge"/>
          <c:x val="0.22891591563102803"/>
          <c:y val="2.7777777777777776E-2"/>
        </c:manualLayout>
      </c:layout>
      <c:overlay val="0"/>
      <c:spPr>
        <a:noFill/>
        <a:ln w="25400">
          <a:noFill/>
        </a:ln>
      </c:spPr>
    </c:title>
    <c:autoTitleDeleted val="0"/>
    <c:plotArea>
      <c:layout>
        <c:manualLayout>
          <c:layoutTarget val="inner"/>
          <c:xMode val="edge"/>
          <c:yMode val="edge"/>
          <c:x val="6.024103473389817E-2"/>
          <c:y val="0.49652946143073673"/>
          <c:w val="0.52048254010088024"/>
          <c:h val="0.2847231876735693"/>
        </c:manualLayout>
      </c:layout>
      <c:scatterChart>
        <c:scatterStyle val="lineMarker"/>
        <c:varyColors val="0"/>
        <c:ser>
          <c:idx val="0"/>
          <c:order val="0"/>
          <c:tx>
            <c:strRef>
              <c:f>LiveRegression!$U$42</c:f>
              <c:strCache>
                <c:ptCount val="1"/>
                <c:pt idx="0">
                  <c:v>Cumulative Relative Frequency</c:v>
                </c:pt>
              </c:strCache>
            </c:strRef>
          </c:tx>
          <c:spPr>
            <a:ln w="25400">
              <a:solidFill>
                <a:srgbClr val="666699"/>
              </a:solidFill>
              <a:prstDash val="solid"/>
            </a:ln>
          </c:spPr>
          <c:marker>
            <c:symbol val="diamond"/>
            <c:size val="6"/>
            <c:spPr>
              <a:solidFill>
                <a:srgbClr val="666699"/>
              </a:solidFill>
              <a:ln>
                <a:solidFill>
                  <a:srgbClr val="666699"/>
                </a:solidFill>
                <a:prstDash val="solid"/>
              </a:ln>
            </c:spPr>
          </c:marker>
          <c:xVal>
            <c:numRef>
              <c:f>LiveRegression!$P$43:$P$55</c:f>
              <c:numCache>
                <c:formatCode>General</c:formatCode>
                <c:ptCount val="13"/>
                <c:pt idx="0">
                  <c:v>-6.8078908053782392</c:v>
                </c:pt>
                <c:pt idx="1">
                  <c:v>-4.8121010457693831</c:v>
                </c:pt>
                <c:pt idx="2">
                  <c:v>-2.8163112861605275</c:v>
                </c:pt>
                <c:pt idx="3">
                  <c:v>-0.82052152655167188</c:v>
                </c:pt>
                <c:pt idx="4">
                  <c:v>1.1752682330571838</c:v>
                </c:pt>
                <c:pt idx="5">
                  <c:v>3.1710579926660394</c:v>
                </c:pt>
                <c:pt idx="6">
                  <c:v>5.1668477522748955</c:v>
                </c:pt>
                <c:pt idx="7">
                  <c:v>7.1626375118837515</c:v>
                </c:pt>
                <c:pt idx="8">
                  <c:v>9.1584272714926076</c:v>
                </c:pt>
                <c:pt idx="9">
                  <c:v>11.154217031101464</c:v>
                </c:pt>
                <c:pt idx="10">
                  <c:v>13.15000679071032</c:v>
                </c:pt>
                <c:pt idx="11">
                  <c:v>15.145796550319176</c:v>
                </c:pt>
                <c:pt idx="12">
                  <c:v>17.14158630992803</c:v>
                </c:pt>
              </c:numCache>
            </c:numRef>
          </c:xVal>
          <c:yVal>
            <c:numRef>
              <c:f>LiveRegression!$U$43:$U$55</c:f>
              <c:numCache>
                <c:formatCode>0%</c:formatCode>
                <c:ptCount val="13"/>
                <c:pt idx="0">
                  <c:v>0.1</c:v>
                </c:pt>
                <c:pt idx="1">
                  <c:v>0.1</c:v>
                </c:pt>
                <c:pt idx="2">
                  <c:v>0.2</c:v>
                </c:pt>
                <c:pt idx="3">
                  <c:v>0.60000000000000009</c:v>
                </c:pt>
                <c:pt idx="4">
                  <c:v>0.8</c:v>
                </c:pt>
                <c:pt idx="5">
                  <c:v>0.8</c:v>
                </c:pt>
                <c:pt idx="6">
                  <c:v>0.8</c:v>
                </c:pt>
                <c:pt idx="7">
                  <c:v>0.9</c:v>
                </c:pt>
                <c:pt idx="8">
                  <c:v>0.9</c:v>
                </c:pt>
                <c:pt idx="9">
                  <c:v>0.9</c:v>
                </c:pt>
                <c:pt idx="10">
                  <c:v>1</c:v>
                </c:pt>
                <c:pt idx="11">
                  <c:v>1</c:v>
                </c:pt>
                <c:pt idx="12">
                  <c:v>1</c:v>
                </c:pt>
              </c:numCache>
            </c:numRef>
          </c:yVal>
          <c:smooth val="0"/>
        </c:ser>
        <c:dLbls>
          <c:showLegendKey val="0"/>
          <c:showVal val="0"/>
          <c:showCatName val="0"/>
          <c:showSerName val="0"/>
          <c:showPercent val="0"/>
          <c:showBubbleSize val="0"/>
        </c:dLbls>
        <c:axId val="302008208"/>
        <c:axId val="302008600"/>
      </c:scatterChart>
      <c:valAx>
        <c:axId val="3020082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2891591563102803"/>
              <c:y val="0.8888918051910178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2008600"/>
        <c:crossesAt val="0"/>
        <c:crossBetween val="midCat"/>
      </c:valAx>
      <c:valAx>
        <c:axId val="302008600"/>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2008208"/>
        <c:crossesAt val="0"/>
        <c:crossBetween val="midCat"/>
      </c:valAx>
      <c:spPr>
        <a:solidFill>
          <a:srgbClr val="FFFFFF"/>
        </a:solidFill>
        <a:ln w="25400">
          <a:noFill/>
        </a:ln>
      </c:spPr>
    </c:plotArea>
    <c:legend>
      <c:legendPos val="r"/>
      <c:layout>
        <c:manualLayout>
          <c:xMode val="edge"/>
          <c:yMode val="edge"/>
          <c:x val="0.58072365050754193"/>
          <c:y val="0.61111329833770778"/>
          <c:w val="0.34457881921386335"/>
          <c:h val="0.1388892534266550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Q-Q Normal Probability Plot Of Residuals</a:t>
            </a:r>
          </a:p>
        </c:rich>
      </c:tx>
      <c:layout>
        <c:manualLayout>
          <c:xMode val="edge"/>
          <c:yMode val="edge"/>
          <c:x val="0.22891591563102803"/>
          <c:y val="2.7777777777777776E-2"/>
        </c:manualLayout>
      </c:layout>
      <c:overlay val="0"/>
      <c:spPr>
        <a:noFill/>
        <a:ln w="25400">
          <a:noFill/>
        </a:ln>
      </c:spPr>
    </c:title>
    <c:autoTitleDeleted val="0"/>
    <c:plotArea>
      <c:layout>
        <c:manualLayout>
          <c:layoutTarget val="inner"/>
          <c:xMode val="edge"/>
          <c:yMode val="edge"/>
          <c:x val="8.9156731406169296E-2"/>
          <c:y val="0.49652946143073673"/>
          <c:w val="0.47951863648182946"/>
          <c:h val="0.37847350556608605"/>
        </c:manualLayout>
      </c:layout>
      <c:scatterChart>
        <c:scatterStyle val="lineMarker"/>
        <c:varyColors val="0"/>
        <c:ser>
          <c:idx val="0"/>
          <c:order val="0"/>
          <c:tx>
            <c:strRef>
              <c:f>LiveRegression!$L$42</c:f>
              <c:strCache>
                <c:ptCount val="1"/>
                <c:pt idx="0">
                  <c:v>Ordered Residuals of y</c:v>
                </c:pt>
              </c:strCache>
            </c:strRef>
          </c:tx>
          <c:spPr>
            <a:ln w="28575">
              <a:noFill/>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LiveRegression!$K$43:$K$65000</c:f>
              <c:numCache>
                <c:formatCode>0.0000</c:formatCode>
                <c:ptCount val="64958"/>
                <c:pt idx="0">
                  <c:v>-1.6448536269514726</c:v>
                </c:pt>
                <c:pt idx="1">
                  <c:v>-1.0364333894937898</c:v>
                </c:pt>
                <c:pt idx="2">
                  <c:v>-0.67448975019608193</c:v>
                </c:pt>
                <c:pt idx="3">
                  <c:v>-0.38532046640756784</c:v>
                </c:pt>
                <c:pt idx="4">
                  <c:v>-0.12566134685507402</c:v>
                </c:pt>
                <c:pt idx="5">
                  <c:v>0.12566134685507416</c:v>
                </c:pt>
                <c:pt idx="6">
                  <c:v>0.38532046640756784</c:v>
                </c:pt>
                <c:pt idx="7">
                  <c:v>0.67448975019608193</c:v>
                </c:pt>
                <c:pt idx="8">
                  <c:v>1.0364333894937898</c:v>
                </c:pt>
                <c:pt idx="9">
                  <c:v>1.6448536269514715</c:v>
                </c:pt>
              </c:numCache>
            </c:numRef>
          </c:xVal>
          <c:yVal>
            <c:numRef>
              <c:f>LiveRegression!$L$43:$L$65000</c:f>
              <c:numCache>
                <c:formatCode>General</c:formatCode>
                <c:ptCount val="64958"/>
                <c:pt idx="0">
                  <c:v>-8.8036805649870953</c:v>
                </c:pt>
                <c:pt idx="1">
                  <c:v>-3.7780795871248074</c:v>
                </c:pt>
                <c:pt idx="2">
                  <c:v>-2.158698899904925</c:v>
                </c:pt>
                <c:pt idx="3">
                  <c:v>-1.5584680157544444</c:v>
                </c:pt>
                <c:pt idx="4">
                  <c:v>-0.87403232378106921</c:v>
                </c:pt>
                <c:pt idx="5">
                  <c:v>-0.87138394676082953</c:v>
                </c:pt>
                <c:pt idx="6">
                  <c:v>-0.36445742224637101</c:v>
                </c:pt>
                <c:pt idx="7">
                  <c:v>1.0161618905337484</c:v>
                </c:pt>
                <c:pt idx="8">
                  <c:v>6.2384218389243529</c:v>
                </c:pt>
                <c:pt idx="9">
                  <c:v>11.15421703110146</c:v>
                </c:pt>
              </c:numCache>
            </c:numRef>
          </c:yVal>
          <c:smooth val="0"/>
        </c:ser>
        <c:dLbls>
          <c:showLegendKey val="0"/>
          <c:showVal val="0"/>
          <c:showCatName val="0"/>
          <c:showSerName val="0"/>
          <c:showPercent val="0"/>
          <c:showBubbleSize val="0"/>
        </c:dLbls>
        <c:axId val="303833904"/>
        <c:axId val="303834296"/>
      </c:scatterChart>
      <c:valAx>
        <c:axId val="3038339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Normal score</a:t>
                </a:r>
              </a:p>
            </c:rich>
          </c:tx>
          <c:layout>
            <c:manualLayout>
              <c:xMode val="edge"/>
              <c:yMode val="edge"/>
              <c:x val="0.23614483129367864"/>
              <c:y val="0.9062529163021289"/>
            </c:manualLayout>
          </c:layout>
          <c:overlay val="0"/>
          <c:spPr>
            <a:noFill/>
            <a:ln w="25400">
              <a:noFill/>
            </a:ln>
          </c:spPr>
        </c:title>
        <c:numFmt formatCode="0.000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4296"/>
        <c:crossesAt val="0"/>
        <c:crossBetween val="midCat"/>
      </c:valAx>
      <c:valAx>
        <c:axId val="303834296"/>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1.2048192771084338E-2"/>
              <c:y val="0.552085156022163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3904"/>
        <c:crossesAt val="0"/>
        <c:crossBetween val="midCat"/>
      </c:valAx>
      <c:spPr>
        <a:solidFill>
          <a:srgbClr val="FFFFFF"/>
        </a:solidFill>
        <a:ln w="25400">
          <a:noFill/>
        </a:ln>
      </c:spPr>
    </c:plotArea>
    <c:legend>
      <c:legendPos val="r"/>
      <c:layout>
        <c:manualLayout>
          <c:xMode val="edge"/>
          <c:yMode val="edge"/>
          <c:x val="0.59036220472440937"/>
          <c:y val="0.56597404491105274"/>
          <c:w val="0.33494026499699581"/>
          <c:h val="0.2777788713910761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Empirical CDF of Residuals</a:t>
            </a:r>
          </a:p>
        </c:rich>
      </c:tx>
      <c:layout>
        <c:manualLayout>
          <c:xMode val="edge"/>
          <c:yMode val="edge"/>
          <c:x val="0.16867495177560635"/>
          <c:y val="2.7777777777777776E-2"/>
        </c:manualLayout>
      </c:layout>
      <c:overlay val="0"/>
      <c:spPr>
        <a:noFill/>
        <a:ln w="25400">
          <a:noFill/>
        </a:ln>
      </c:spPr>
    </c:title>
    <c:autoTitleDeleted val="0"/>
    <c:plotArea>
      <c:layout>
        <c:manualLayout>
          <c:layoutTarget val="inner"/>
          <c:xMode val="edge"/>
          <c:yMode val="edge"/>
          <c:x val="9.6385655574237075E-2"/>
          <c:y val="0.3298622296218181"/>
          <c:w val="0.50602469176474463"/>
          <c:h val="0.45486265347850707"/>
        </c:manualLayout>
      </c:layout>
      <c:scatterChart>
        <c:scatterStyle val="lineMarker"/>
        <c:varyColors val="0"/>
        <c:ser>
          <c:idx val="0"/>
          <c:order val="0"/>
          <c:tx>
            <c:strRef>
              <c:f>LiveRegression!$L$42</c:f>
              <c:strCache>
                <c:ptCount val="1"/>
                <c:pt idx="0">
                  <c:v>Ordered Residuals of y</c:v>
                </c:pt>
              </c:strCache>
            </c:strRef>
          </c:tx>
          <c:spPr>
            <a:ln w="28575">
              <a:noFill/>
            </a:ln>
          </c:spPr>
          <c:marker>
            <c:symbol val="diamond"/>
            <c:size val="6"/>
            <c:spPr>
              <a:solidFill>
                <a:srgbClr val="666699"/>
              </a:solidFill>
              <a:ln>
                <a:solidFill>
                  <a:srgbClr val="666699"/>
                </a:solidFill>
                <a:prstDash val="solid"/>
              </a:ln>
            </c:spPr>
          </c:marker>
          <c:xVal>
            <c:numRef>
              <c:f>LiveRegression!$L$43:$L$65000</c:f>
              <c:numCache>
                <c:formatCode>General</c:formatCode>
                <c:ptCount val="64958"/>
                <c:pt idx="0">
                  <c:v>-8.8036805649870953</c:v>
                </c:pt>
                <c:pt idx="1">
                  <c:v>-3.7780795871248074</c:v>
                </c:pt>
                <c:pt idx="2">
                  <c:v>-2.158698899904925</c:v>
                </c:pt>
                <c:pt idx="3">
                  <c:v>-1.5584680157544444</c:v>
                </c:pt>
                <c:pt idx="4">
                  <c:v>-0.87403232378106921</c:v>
                </c:pt>
                <c:pt idx="5">
                  <c:v>-0.87138394676082953</c:v>
                </c:pt>
                <c:pt idx="6">
                  <c:v>-0.36445742224637101</c:v>
                </c:pt>
                <c:pt idx="7">
                  <c:v>1.0161618905337484</c:v>
                </c:pt>
                <c:pt idx="8">
                  <c:v>6.2384218389243529</c:v>
                </c:pt>
                <c:pt idx="9">
                  <c:v>11.15421703110146</c:v>
                </c:pt>
              </c:numCache>
            </c:numRef>
          </c:xVal>
          <c:yVal>
            <c:numRef>
              <c:f>LiveRegression!$I$43:$I$65000</c:f>
              <c:numCache>
                <c:formatCode>General</c:formatCode>
                <c:ptCount val="64958"/>
                <c:pt idx="0">
                  <c:v>0.05</c:v>
                </c:pt>
                <c:pt idx="1">
                  <c:v>0.15</c:v>
                </c:pt>
                <c:pt idx="2">
                  <c:v>0.25</c:v>
                </c:pt>
                <c:pt idx="3">
                  <c:v>0.35</c:v>
                </c:pt>
                <c:pt idx="4">
                  <c:v>0.45</c:v>
                </c:pt>
                <c:pt idx="5">
                  <c:v>0.55000000000000004</c:v>
                </c:pt>
                <c:pt idx="6">
                  <c:v>0.65</c:v>
                </c:pt>
                <c:pt idx="7">
                  <c:v>0.75</c:v>
                </c:pt>
                <c:pt idx="8">
                  <c:v>0.85</c:v>
                </c:pt>
                <c:pt idx="9">
                  <c:v>0.95</c:v>
                </c:pt>
              </c:numCache>
            </c:numRef>
          </c:yVal>
          <c:smooth val="0"/>
        </c:ser>
        <c:dLbls>
          <c:showLegendKey val="0"/>
          <c:showVal val="0"/>
          <c:showCatName val="0"/>
          <c:showSerName val="0"/>
          <c:showPercent val="0"/>
          <c:showBubbleSize val="0"/>
        </c:dLbls>
        <c:axId val="303835080"/>
        <c:axId val="303835472"/>
      </c:scatterChart>
      <c:valAx>
        <c:axId val="30383508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5783157828163045"/>
              <c:y val="0.8923640274132400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5472"/>
        <c:crossesAt val="0"/>
        <c:crossBetween val="midCat"/>
      </c:valAx>
      <c:valAx>
        <c:axId val="303835472"/>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Relative Rank</a:t>
                </a:r>
              </a:p>
            </c:rich>
          </c:tx>
          <c:layout>
            <c:manualLayout>
              <c:xMode val="edge"/>
              <c:yMode val="edge"/>
              <c:x val="1.4457831325301205E-2"/>
              <c:y val="0.4236125692621755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5080"/>
        <c:crossesAt val="0"/>
        <c:crossBetween val="midCat"/>
      </c:valAx>
      <c:spPr>
        <a:solidFill>
          <a:srgbClr val="FFFFFF"/>
        </a:solidFill>
        <a:ln w="25400">
          <a:noFill/>
        </a:ln>
      </c:spPr>
    </c:plotArea>
    <c:legend>
      <c:legendPos val="r"/>
      <c:layout>
        <c:manualLayout>
          <c:xMode val="edge"/>
          <c:yMode val="edge"/>
          <c:x val="0.60482003604971057"/>
          <c:y val="0.53819626713327495"/>
          <c:w val="0.32530171078012837"/>
          <c:h val="0.1388892534266550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Run Sequence Plot of Residuals</a:t>
            </a:r>
          </a:p>
        </c:rich>
      </c:tx>
      <c:layout>
        <c:manualLayout>
          <c:xMode val="edge"/>
          <c:yMode val="edge"/>
          <c:x val="0.11325326502861841"/>
          <c:y val="2.7777777777777776E-2"/>
        </c:manualLayout>
      </c:layout>
      <c:overlay val="0"/>
      <c:spPr>
        <a:noFill/>
        <a:ln w="25400">
          <a:noFill/>
        </a:ln>
      </c:spPr>
    </c:title>
    <c:autoTitleDeleted val="0"/>
    <c:plotArea>
      <c:layout>
        <c:manualLayout>
          <c:layoutTarget val="inner"/>
          <c:xMode val="edge"/>
          <c:yMode val="edge"/>
          <c:x val="0.17831346281233859"/>
          <c:y val="0.3298622296218181"/>
          <c:w val="0.43614509147342279"/>
          <c:h val="0.54514073737500468"/>
        </c:manualLayout>
      </c:layout>
      <c:scatterChart>
        <c:scatterStyle val="lineMarker"/>
        <c:varyColors val="0"/>
        <c:ser>
          <c:idx val="0"/>
          <c:order val="0"/>
          <c:tx>
            <c:strRef>
              <c:f>LiveRegression!$E$42</c:f>
              <c:strCache>
                <c:ptCount val="1"/>
                <c:pt idx="0">
                  <c:v>Residuals of y</c:v>
                </c:pt>
              </c:strCache>
            </c:strRef>
          </c:tx>
          <c:spPr>
            <a:ln w="25400">
              <a:solidFill>
                <a:srgbClr val="666699"/>
              </a:solidFill>
              <a:prstDash val="solid"/>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LiveRegression!$A$43:$A$65000</c:f>
              <c:numCache>
                <c:formatCode>General</c:formatCode>
                <c:ptCount val="64958"/>
                <c:pt idx="0">
                  <c:v>1</c:v>
                </c:pt>
                <c:pt idx="1">
                  <c:v>2</c:v>
                </c:pt>
                <c:pt idx="2">
                  <c:v>3</c:v>
                </c:pt>
                <c:pt idx="3">
                  <c:v>4</c:v>
                </c:pt>
                <c:pt idx="4">
                  <c:v>5</c:v>
                </c:pt>
                <c:pt idx="5">
                  <c:v>6</c:v>
                </c:pt>
                <c:pt idx="6">
                  <c:v>7</c:v>
                </c:pt>
                <c:pt idx="7">
                  <c:v>8</c:v>
                </c:pt>
                <c:pt idx="8">
                  <c:v>9</c:v>
                </c:pt>
                <c:pt idx="9">
                  <c:v>10</c:v>
                </c:pt>
              </c:numCache>
            </c:numRef>
          </c:xVal>
          <c:yVal>
            <c:numRef>
              <c:f>LiveRegression!$E$43:$E$65000</c:f>
              <c:numCache>
                <c:formatCode>General</c:formatCode>
                <c:ptCount val="64958"/>
                <c:pt idx="0">
                  <c:v>-3.7780795871248074</c:v>
                </c:pt>
                <c:pt idx="1">
                  <c:v>-2.158698899904925</c:v>
                </c:pt>
                <c:pt idx="2">
                  <c:v>1.0161618905337484</c:v>
                </c:pt>
                <c:pt idx="3">
                  <c:v>-1.5584680157544444</c:v>
                </c:pt>
                <c:pt idx="4">
                  <c:v>-0.87138394676082953</c:v>
                </c:pt>
                <c:pt idx="5">
                  <c:v>6.2384218389243529</c:v>
                </c:pt>
                <c:pt idx="6">
                  <c:v>-0.87403232378106921</c:v>
                </c:pt>
                <c:pt idx="7">
                  <c:v>-8.8036805649870953</c:v>
                </c:pt>
                <c:pt idx="8">
                  <c:v>11.15421703110146</c:v>
                </c:pt>
                <c:pt idx="9">
                  <c:v>-0.36445742224637101</c:v>
                </c:pt>
              </c:numCache>
            </c:numRef>
          </c:yVal>
          <c:smooth val="0"/>
        </c:ser>
        <c:dLbls>
          <c:showLegendKey val="0"/>
          <c:showVal val="0"/>
          <c:showCatName val="0"/>
          <c:showSerName val="0"/>
          <c:showPercent val="0"/>
          <c:showBubbleSize val="0"/>
        </c:dLbls>
        <c:axId val="303836256"/>
        <c:axId val="303836648"/>
      </c:scatterChart>
      <c:valAx>
        <c:axId val="3038362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Data Point # in Original Run Sequence</a:t>
                </a:r>
              </a:p>
            </c:rich>
          </c:tx>
          <c:layout>
            <c:manualLayout>
              <c:xMode val="edge"/>
              <c:yMode val="edge"/>
              <c:x val="0.14457856623343768"/>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6648"/>
        <c:crossesAt val="0"/>
        <c:crossBetween val="midCat"/>
      </c:valAx>
      <c:valAx>
        <c:axId val="30383664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5.0602409638554217E-2"/>
              <c:y val="0.4687514581510644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6256"/>
        <c:crossesAt val="0"/>
        <c:crossBetween val="midCat"/>
      </c:valAx>
      <c:spPr>
        <a:solidFill>
          <a:srgbClr val="FFFFFF"/>
        </a:solidFill>
        <a:ln w="25400">
          <a:noFill/>
        </a:ln>
      </c:spPr>
    </c:plotArea>
    <c:legend>
      <c:legendPos val="r"/>
      <c:layout>
        <c:manualLayout>
          <c:xMode val="edge"/>
          <c:yMode val="edge"/>
          <c:x val="0.61686822882079495"/>
          <c:y val="0.48611293379994164"/>
          <c:w val="0.31566290358283522"/>
          <c:h val="0.277778871391076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Chart Title</a:t>
            </a:r>
          </a:p>
        </c:rich>
      </c:tx>
      <c:layout>
        <c:manualLayout>
          <c:xMode val="edge"/>
          <c:yMode val="edge"/>
          <c:x val="0.36385592764759822"/>
          <c:y val="2.7777777777777776E-2"/>
        </c:manualLayout>
      </c:layout>
      <c:overlay val="0"/>
      <c:spPr>
        <a:noFill/>
        <a:ln w="25400">
          <a:noFill/>
        </a:ln>
      </c:spPr>
    </c:title>
    <c:autoTitleDeleted val="0"/>
    <c:plotArea>
      <c:layout>
        <c:manualLayout>
          <c:layoutTarget val="inner"/>
          <c:xMode val="edge"/>
          <c:yMode val="edge"/>
          <c:x val="9.6385655574237075E-2"/>
          <c:y val="0.3298622296218181"/>
          <c:w val="0.52048254010088024"/>
          <c:h val="0.54514073737500468"/>
        </c:manualLayout>
      </c:layout>
      <c:scatterChart>
        <c:scatterStyle val="lineMarker"/>
        <c:varyColors val="0"/>
        <c:ser>
          <c:idx val="0"/>
          <c:order val="0"/>
          <c:tx>
            <c:strRef>
              <c:f>LiveRegression!$E$42</c:f>
              <c:strCache>
                <c:ptCount val="1"/>
                <c:pt idx="0">
                  <c:v>Residuals of y</c:v>
                </c:pt>
              </c:strCache>
            </c:strRef>
          </c:tx>
          <c:spPr>
            <a:ln w="28575">
              <a:noFill/>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LiveRegression!$E$43:$E$65000</c:f>
              <c:numCache>
                <c:formatCode>General</c:formatCode>
                <c:ptCount val="64958"/>
                <c:pt idx="0">
                  <c:v>-3.7780795871248074</c:v>
                </c:pt>
                <c:pt idx="1">
                  <c:v>-2.158698899904925</c:v>
                </c:pt>
                <c:pt idx="2">
                  <c:v>1.0161618905337484</c:v>
                </c:pt>
                <c:pt idx="3">
                  <c:v>-1.5584680157544444</c:v>
                </c:pt>
                <c:pt idx="4">
                  <c:v>-0.87138394676082953</c:v>
                </c:pt>
                <c:pt idx="5">
                  <c:v>6.2384218389243529</c:v>
                </c:pt>
                <c:pt idx="6">
                  <c:v>-0.87403232378106921</c:v>
                </c:pt>
                <c:pt idx="7">
                  <c:v>-8.8036805649870953</c:v>
                </c:pt>
                <c:pt idx="8">
                  <c:v>11.15421703110146</c:v>
                </c:pt>
                <c:pt idx="9">
                  <c:v>-0.36445742224637101</c:v>
                </c:pt>
              </c:numCache>
            </c:numRef>
          </c:xVal>
          <c:yVal>
            <c:numRef>
              <c:f>LiveRegression!$E$44:$E$65000</c:f>
              <c:numCache>
                <c:formatCode>General</c:formatCode>
                <c:ptCount val="64957"/>
                <c:pt idx="0">
                  <c:v>-2.158698899904925</c:v>
                </c:pt>
                <c:pt idx="1">
                  <c:v>1.0161618905337484</c:v>
                </c:pt>
                <c:pt idx="2">
                  <c:v>-1.5584680157544444</c:v>
                </c:pt>
                <c:pt idx="3">
                  <c:v>-0.87138394676082953</c:v>
                </c:pt>
                <c:pt idx="4">
                  <c:v>6.2384218389243529</c:v>
                </c:pt>
                <c:pt idx="5">
                  <c:v>-0.87403232378106921</c:v>
                </c:pt>
                <c:pt idx="6">
                  <c:v>-8.8036805649870953</c:v>
                </c:pt>
                <c:pt idx="7">
                  <c:v>11.15421703110146</c:v>
                </c:pt>
                <c:pt idx="8">
                  <c:v>-0.36445742224637101</c:v>
                </c:pt>
              </c:numCache>
            </c:numRef>
          </c:yVal>
          <c:smooth val="0"/>
        </c:ser>
        <c:dLbls>
          <c:showLegendKey val="0"/>
          <c:showVal val="0"/>
          <c:showCatName val="0"/>
          <c:showSerName val="0"/>
          <c:showPercent val="0"/>
          <c:showBubbleSize val="0"/>
        </c:dLbls>
        <c:axId val="303837432"/>
        <c:axId val="303837824"/>
      </c:scatterChart>
      <c:valAx>
        <c:axId val="3038374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data point # n in original sequence</a:t>
                </a:r>
              </a:p>
            </c:rich>
          </c:tx>
          <c:layout>
            <c:manualLayout>
              <c:xMode val="edge"/>
              <c:yMode val="edge"/>
              <c:x val="0.12771109635391961"/>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7824"/>
        <c:crossesAt val="0"/>
        <c:crossBetween val="midCat"/>
      </c:valAx>
      <c:valAx>
        <c:axId val="303837824"/>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data point # (n+1) in original sequence</a:t>
                </a:r>
              </a:p>
            </c:rich>
          </c:tx>
          <c:layout>
            <c:manualLayout>
              <c:xMode val="edge"/>
              <c:yMode val="edge"/>
              <c:x val="1.2048192771084338E-2"/>
              <c:y val="0.2340740740740740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7432"/>
        <c:crossesAt val="0"/>
        <c:crossBetween val="midCat"/>
      </c:valAx>
      <c:spPr>
        <a:solidFill>
          <a:srgbClr val="FFFFFF"/>
        </a:solidFill>
        <a:ln w="25400">
          <a:noFill/>
        </a:ln>
      </c:spPr>
    </c:plotArea>
    <c:legend>
      <c:legendPos val="r"/>
      <c:layout>
        <c:manualLayout>
          <c:xMode val="edge"/>
          <c:yMode val="edge"/>
          <c:x val="0.61686822882079495"/>
          <c:y val="0.48611293379994164"/>
          <c:w val="0.31566290358283522"/>
          <c:h val="0.277778871391076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Observed y</a:t>
            </a:r>
          </a:p>
        </c:rich>
      </c:tx>
      <c:layout>
        <c:manualLayout>
          <c:xMode val="edge"/>
          <c:yMode val="edge"/>
          <c:x val="0.32865168539325845"/>
          <c:y val="2.5089605734767026E-2"/>
        </c:manualLayout>
      </c:layout>
      <c:overlay val="0"/>
      <c:spPr>
        <a:noFill/>
        <a:ln w="25400">
          <a:noFill/>
        </a:ln>
      </c:spPr>
    </c:title>
    <c:autoTitleDeleted val="0"/>
    <c:plotArea>
      <c:layout>
        <c:manualLayout>
          <c:layoutTarget val="inner"/>
          <c:xMode val="edge"/>
          <c:yMode val="edge"/>
          <c:x val="0.11235955056179775"/>
          <c:y val="0.3405029839514167"/>
          <c:w val="0.5646067415730337"/>
          <c:h val="0.53046780657694392"/>
        </c:manualLayout>
      </c:layout>
      <c:scatterChart>
        <c:scatterStyle val="lineMarker"/>
        <c:varyColors val="0"/>
        <c:ser>
          <c:idx val="0"/>
          <c:order val="0"/>
          <c:tx>
            <c:strRef>
              <c:f>LiveRegression!$C$42</c:f>
              <c:strCache>
                <c:ptCount val="1"/>
                <c:pt idx="0">
                  <c:v>Observed y</c:v>
                </c:pt>
              </c:strCache>
            </c:strRef>
          </c:tx>
          <c:spPr>
            <a:ln w="28575">
              <a:noFill/>
            </a:ln>
          </c:spPr>
          <c:marker>
            <c:symbol val="diamond"/>
            <c:size val="6"/>
            <c:spPr>
              <a:solidFill>
                <a:srgbClr val="666699"/>
              </a:solidFill>
              <a:ln>
                <a:solidFill>
                  <a:srgbClr val="666699"/>
                </a:solidFill>
                <a:prstDash val="solid"/>
              </a:ln>
            </c:spPr>
          </c:marker>
          <c:xVal>
            <c:numRef>
              <c:f>LiveRegression!$D$43:$D$65000</c:f>
              <c:numCache>
                <c:formatCode>General</c:formatCode>
                <c:ptCount val="64958"/>
                <c:pt idx="0">
                  <c:v>2.7780795871248074</c:v>
                </c:pt>
                <c:pt idx="1">
                  <c:v>-0.84130110009507497</c:v>
                </c:pt>
                <c:pt idx="2">
                  <c:v>25.983838109466252</c:v>
                </c:pt>
                <c:pt idx="3">
                  <c:v>10.558468015754444</c:v>
                </c:pt>
                <c:pt idx="4">
                  <c:v>6.8713839467608295</c:v>
                </c:pt>
                <c:pt idx="5">
                  <c:v>10.761578161075647</c:v>
                </c:pt>
                <c:pt idx="6">
                  <c:v>29.874032323781069</c:v>
                </c:pt>
                <c:pt idx="7">
                  <c:v>6.8036805649870953</c:v>
                </c:pt>
                <c:pt idx="8">
                  <c:v>2.8457829688985408</c:v>
                </c:pt>
                <c:pt idx="9">
                  <c:v>22.364457422246371</c:v>
                </c:pt>
              </c:numCache>
            </c:numRef>
          </c:xVal>
          <c:yVal>
            <c:numRef>
              <c:f>LiveRegression!$C$43:$C$65000</c:f>
              <c:numCache>
                <c:formatCode>General</c:formatCode>
                <c:ptCount val="64958"/>
                <c:pt idx="0">
                  <c:v>-1</c:v>
                </c:pt>
                <c:pt idx="1">
                  <c:v>-3</c:v>
                </c:pt>
                <c:pt idx="2">
                  <c:v>27</c:v>
                </c:pt>
                <c:pt idx="3">
                  <c:v>9</c:v>
                </c:pt>
                <c:pt idx="4">
                  <c:v>6</c:v>
                </c:pt>
                <c:pt idx="5">
                  <c:v>17</c:v>
                </c:pt>
                <c:pt idx="6">
                  <c:v>29</c:v>
                </c:pt>
                <c:pt idx="7">
                  <c:v>-2</c:v>
                </c:pt>
                <c:pt idx="8">
                  <c:v>14</c:v>
                </c:pt>
                <c:pt idx="9">
                  <c:v>22</c:v>
                </c:pt>
              </c:numCache>
            </c:numRef>
          </c:yVal>
          <c:smooth val="0"/>
        </c:ser>
        <c:dLbls>
          <c:showLegendKey val="0"/>
          <c:showVal val="0"/>
          <c:showCatName val="0"/>
          <c:showSerName val="0"/>
          <c:showPercent val="0"/>
          <c:showBubbleSize val="0"/>
        </c:dLbls>
        <c:axId val="303838608"/>
        <c:axId val="303839000"/>
      </c:scatterChart>
      <c:valAx>
        <c:axId val="3038386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Predicted  y</a:t>
                </a:r>
              </a:p>
            </c:rich>
          </c:tx>
          <c:layout>
            <c:manualLayout>
              <c:xMode val="edge"/>
              <c:yMode val="edge"/>
              <c:x val="0.29775280898876405"/>
              <c:y val="0.9032288168280040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9000"/>
        <c:crossesAt val="0"/>
        <c:crossBetween val="midCat"/>
      </c:valAx>
      <c:valAx>
        <c:axId val="303839000"/>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Observed y</a:t>
                </a:r>
              </a:p>
            </c:rich>
          </c:tx>
          <c:layout>
            <c:manualLayout>
              <c:xMode val="edge"/>
              <c:yMode val="edge"/>
              <c:x val="1.6853932584269662E-2"/>
              <c:y val="0.4874570786178609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8608"/>
        <c:crossesAt val="0"/>
        <c:crossBetween val="midCat"/>
      </c:valAx>
      <c:spPr>
        <a:solidFill>
          <a:srgbClr val="FFFFFF"/>
        </a:solidFill>
        <a:ln w="25400">
          <a:noFill/>
        </a:ln>
      </c:spPr>
    </c:plotArea>
    <c:legend>
      <c:legendPos val="r"/>
      <c:layout>
        <c:manualLayout>
          <c:xMode val="edge"/>
          <c:yMode val="edge"/>
          <c:x val="0.702247191011236"/>
          <c:y val="0.58423127216624804"/>
          <c:w val="0.2331460674157303"/>
          <c:h val="8.602188167339297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Residuals of y</a:t>
            </a:r>
          </a:p>
        </c:rich>
      </c:tx>
      <c:layout>
        <c:manualLayout>
          <c:xMode val="edge"/>
          <c:yMode val="edge"/>
          <c:x val="0.32203389830508472"/>
          <c:y val="2.7777777777777776E-2"/>
        </c:manualLayout>
      </c:layout>
      <c:overlay val="0"/>
      <c:spPr>
        <a:noFill/>
        <a:ln w="25400">
          <a:noFill/>
        </a:ln>
      </c:spPr>
    </c:title>
    <c:autoTitleDeleted val="0"/>
    <c:plotArea>
      <c:layout>
        <c:manualLayout>
          <c:layoutTarget val="inner"/>
          <c:xMode val="edge"/>
          <c:yMode val="edge"/>
          <c:x val="9.6852300242130748E-2"/>
          <c:y val="0.3298622296218181"/>
          <c:w val="0.59564164648910412"/>
          <c:h val="0.54514073737500468"/>
        </c:manualLayout>
      </c:layout>
      <c:scatterChart>
        <c:scatterStyle val="lineMarker"/>
        <c:varyColors val="0"/>
        <c:ser>
          <c:idx val="0"/>
          <c:order val="0"/>
          <c:tx>
            <c:strRef>
              <c:f>LiveRegression!$E$42</c:f>
              <c:strCache>
                <c:ptCount val="1"/>
                <c:pt idx="0">
                  <c:v>Residuals of y</c:v>
                </c:pt>
              </c:strCache>
            </c:strRef>
          </c:tx>
          <c:spPr>
            <a:ln w="28575">
              <a:noFill/>
            </a:ln>
          </c:spPr>
          <c:marker>
            <c:symbol val="diamond"/>
            <c:size val="6"/>
            <c:spPr>
              <a:solidFill>
                <a:srgbClr val="666699"/>
              </a:solidFill>
              <a:ln>
                <a:solidFill>
                  <a:srgbClr val="666699"/>
                </a:solidFill>
                <a:prstDash val="solid"/>
              </a:ln>
            </c:spPr>
          </c:marker>
          <c:xVal>
            <c:numRef>
              <c:f>LiveRegression!$D$43:$D$65000</c:f>
              <c:numCache>
                <c:formatCode>General</c:formatCode>
                <c:ptCount val="64958"/>
                <c:pt idx="0">
                  <c:v>2.7780795871248074</c:v>
                </c:pt>
                <c:pt idx="1">
                  <c:v>-0.84130110009507497</c:v>
                </c:pt>
                <c:pt idx="2">
                  <c:v>25.983838109466252</c:v>
                </c:pt>
                <c:pt idx="3">
                  <c:v>10.558468015754444</c:v>
                </c:pt>
                <c:pt idx="4">
                  <c:v>6.8713839467608295</c:v>
                </c:pt>
                <c:pt idx="5">
                  <c:v>10.761578161075647</c:v>
                </c:pt>
                <c:pt idx="6">
                  <c:v>29.874032323781069</c:v>
                </c:pt>
                <c:pt idx="7">
                  <c:v>6.8036805649870953</c:v>
                </c:pt>
                <c:pt idx="8">
                  <c:v>2.8457829688985408</c:v>
                </c:pt>
                <c:pt idx="9">
                  <c:v>22.364457422246371</c:v>
                </c:pt>
              </c:numCache>
            </c:numRef>
          </c:xVal>
          <c:yVal>
            <c:numRef>
              <c:f>LiveRegression!$E$43:$E$65000</c:f>
              <c:numCache>
                <c:formatCode>General</c:formatCode>
                <c:ptCount val="64958"/>
                <c:pt idx="0">
                  <c:v>-3.7780795871248074</c:v>
                </c:pt>
                <c:pt idx="1">
                  <c:v>-2.158698899904925</c:v>
                </c:pt>
                <c:pt idx="2">
                  <c:v>1.0161618905337484</c:v>
                </c:pt>
                <c:pt idx="3">
                  <c:v>-1.5584680157544444</c:v>
                </c:pt>
                <c:pt idx="4">
                  <c:v>-0.87138394676082953</c:v>
                </c:pt>
                <c:pt idx="5">
                  <c:v>6.2384218389243529</c:v>
                </c:pt>
                <c:pt idx="6">
                  <c:v>-0.87403232378106921</c:v>
                </c:pt>
                <c:pt idx="7">
                  <c:v>-8.8036805649870953</c:v>
                </c:pt>
                <c:pt idx="8">
                  <c:v>11.15421703110146</c:v>
                </c:pt>
                <c:pt idx="9">
                  <c:v>-0.36445742224637101</c:v>
                </c:pt>
              </c:numCache>
            </c:numRef>
          </c:yVal>
          <c:smooth val="0"/>
        </c:ser>
        <c:dLbls>
          <c:showLegendKey val="0"/>
          <c:showVal val="0"/>
          <c:showCatName val="0"/>
          <c:showSerName val="0"/>
          <c:showPercent val="0"/>
          <c:showBubbleSize val="0"/>
        </c:dLbls>
        <c:axId val="303839784"/>
        <c:axId val="303840176"/>
      </c:scatterChart>
      <c:valAx>
        <c:axId val="30383978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Predicted  y</a:t>
                </a:r>
              </a:p>
            </c:rich>
          </c:tx>
          <c:layout>
            <c:manualLayout>
              <c:xMode val="edge"/>
              <c:yMode val="edge"/>
              <c:x val="0.31234866828087166"/>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40176"/>
        <c:crossesAt val="0"/>
        <c:crossBetween val="midCat"/>
      </c:valAx>
      <c:valAx>
        <c:axId val="303840176"/>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Observed y</a:t>
                </a:r>
              </a:p>
            </c:rich>
          </c:tx>
          <c:layout>
            <c:manualLayout>
              <c:xMode val="edge"/>
              <c:yMode val="edge"/>
              <c:x val="1.4527845036319613E-2"/>
              <c:y val="0.4861129337999416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3839784"/>
        <c:crossesAt val="0"/>
        <c:crossBetween val="midCat"/>
      </c:valAx>
      <c:spPr>
        <a:solidFill>
          <a:srgbClr val="FFFFFF"/>
        </a:solidFill>
        <a:ln w="25400">
          <a:noFill/>
        </a:ln>
      </c:spPr>
    </c:plotArea>
    <c:legend>
      <c:legendPos val="r"/>
      <c:layout>
        <c:manualLayout>
          <c:xMode val="edge"/>
          <c:yMode val="edge"/>
          <c:x val="0.70460048426150124"/>
          <c:y val="0.5833351560221639"/>
          <c:w val="0.23244552058111378"/>
          <c:h val="8.333369787109945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9</xdr:col>
      <xdr:colOff>238125</xdr:colOff>
      <xdr:row>0</xdr:row>
      <xdr:rowOff>180975</xdr:rowOff>
    </xdr:from>
    <xdr:to>
      <xdr:col>15</xdr:col>
      <xdr:colOff>238125</xdr:colOff>
      <xdr:row>10</xdr:row>
      <xdr:rowOff>180975</xdr:rowOff>
    </xdr:to>
    <xdr:graphicFrame macro="">
      <xdr:nvGraphicFramePr>
        <xdr:cNvPr id="42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238125</xdr:colOff>
      <xdr:row>2</xdr:row>
      <xdr:rowOff>180975</xdr:rowOff>
    </xdr:from>
    <xdr:to>
      <xdr:col>16</xdr:col>
      <xdr:colOff>238125</xdr:colOff>
      <xdr:row>12</xdr:row>
      <xdr:rowOff>180975</xdr:rowOff>
    </xdr:to>
    <xdr:graphicFrame macro="">
      <xdr:nvGraphicFramePr>
        <xdr:cNvPr id="4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238125</xdr:colOff>
      <xdr:row>4</xdr:row>
      <xdr:rowOff>180975</xdr:rowOff>
    </xdr:from>
    <xdr:to>
      <xdr:col>17</xdr:col>
      <xdr:colOff>238125</xdr:colOff>
      <xdr:row>14</xdr:row>
      <xdr:rowOff>171450</xdr:rowOff>
    </xdr:to>
    <xdr:graphicFrame macro="">
      <xdr:nvGraphicFramePr>
        <xdr:cNvPr id="42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6</xdr:row>
      <xdr:rowOff>180975</xdr:rowOff>
    </xdr:from>
    <xdr:to>
      <xdr:col>18</xdr:col>
      <xdr:colOff>238125</xdr:colOff>
      <xdr:row>16</xdr:row>
      <xdr:rowOff>180975</xdr:rowOff>
    </xdr:to>
    <xdr:graphicFrame macro="">
      <xdr:nvGraphicFramePr>
        <xdr:cNvPr id="42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86</xdr:row>
      <xdr:rowOff>85725</xdr:rowOff>
    </xdr:from>
    <xdr:to>
      <xdr:col>20</xdr:col>
      <xdr:colOff>19050</xdr:colOff>
      <xdr:row>100</xdr:row>
      <xdr:rowOff>161925</xdr:rowOff>
    </xdr:to>
    <xdr:graphicFrame macro="">
      <xdr:nvGraphicFramePr>
        <xdr:cNvPr id="548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71</xdr:row>
      <xdr:rowOff>85725</xdr:rowOff>
    </xdr:from>
    <xdr:to>
      <xdr:col>20</xdr:col>
      <xdr:colOff>57150</xdr:colOff>
      <xdr:row>85</xdr:row>
      <xdr:rowOff>114300</xdr:rowOff>
    </xdr:to>
    <xdr:graphicFrame macro="">
      <xdr:nvGraphicFramePr>
        <xdr:cNvPr id="548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101</xdr:row>
      <xdr:rowOff>85725</xdr:rowOff>
    </xdr:from>
    <xdr:to>
      <xdr:col>20</xdr:col>
      <xdr:colOff>19050</xdr:colOff>
      <xdr:row>115</xdr:row>
      <xdr:rowOff>161925</xdr:rowOff>
    </xdr:to>
    <xdr:graphicFrame macro="">
      <xdr:nvGraphicFramePr>
        <xdr:cNvPr id="549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116</xdr:row>
      <xdr:rowOff>85725</xdr:rowOff>
    </xdr:from>
    <xdr:to>
      <xdr:col>20</xdr:col>
      <xdr:colOff>19050</xdr:colOff>
      <xdr:row>130</xdr:row>
      <xdr:rowOff>161925</xdr:rowOff>
    </xdr:to>
    <xdr:graphicFrame macro="">
      <xdr:nvGraphicFramePr>
        <xdr:cNvPr id="549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131</xdr:row>
      <xdr:rowOff>85725</xdr:rowOff>
    </xdr:from>
    <xdr:to>
      <xdr:col>20</xdr:col>
      <xdr:colOff>19050</xdr:colOff>
      <xdr:row>145</xdr:row>
      <xdr:rowOff>161925</xdr:rowOff>
    </xdr:to>
    <xdr:graphicFrame macro="">
      <xdr:nvGraphicFramePr>
        <xdr:cNvPr id="549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146</xdr:row>
      <xdr:rowOff>85725</xdr:rowOff>
    </xdr:from>
    <xdr:to>
      <xdr:col>20</xdr:col>
      <xdr:colOff>19050</xdr:colOff>
      <xdr:row>160</xdr:row>
      <xdr:rowOff>161925</xdr:rowOff>
    </xdr:to>
    <xdr:graphicFrame macro="">
      <xdr:nvGraphicFramePr>
        <xdr:cNvPr id="549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161</xdr:row>
      <xdr:rowOff>85725</xdr:rowOff>
    </xdr:from>
    <xdr:to>
      <xdr:col>20</xdr:col>
      <xdr:colOff>19050</xdr:colOff>
      <xdr:row>175</xdr:row>
      <xdr:rowOff>161925</xdr:rowOff>
    </xdr:to>
    <xdr:graphicFrame macro="">
      <xdr:nvGraphicFramePr>
        <xdr:cNvPr id="549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0</xdr:row>
      <xdr:rowOff>28575</xdr:rowOff>
    </xdr:from>
    <xdr:to>
      <xdr:col>24</xdr:col>
      <xdr:colOff>495300</xdr:colOff>
      <xdr:row>14</xdr:row>
      <xdr:rowOff>19050</xdr:rowOff>
    </xdr:to>
    <xdr:graphicFrame macro="">
      <xdr:nvGraphicFramePr>
        <xdr:cNvPr id="549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56</xdr:row>
      <xdr:rowOff>85725</xdr:rowOff>
    </xdr:from>
    <xdr:to>
      <xdr:col>20</xdr:col>
      <xdr:colOff>0</xdr:colOff>
      <xdr:row>70</xdr:row>
      <xdr:rowOff>161925</xdr:rowOff>
    </xdr:to>
    <xdr:graphicFrame macro="">
      <xdr:nvGraphicFramePr>
        <xdr:cNvPr id="549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0.73277</cdr:x>
      <cdr:y>0.23934</cdr:y>
    </cdr:from>
    <cdr:to>
      <cdr:x>0.93552</cdr:x>
      <cdr:y>0.55092</cdr:y>
    </cdr:to>
    <cdr:sp macro="" textlink="" fLocksText="0">
      <cdr:nvSpPr>
        <cdr:cNvPr id="6145" name="TextBox 1"/>
        <cdr:cNvSpPr txBox="1">
          <a:spLocks xmlns:a="http://schemas.openxmlformats.org/drawingml/2006/main" noChangeArrowheads="1"/>
        </cdr:cNvSpPr>
      </cdr:nvSpPr>
      <cdr:spPr bwMode="auto">
        <a:xfrm xmlns:a="http://schemas.openxmlformats.org/drawingml/2006/main">
          <a:off x="2906690" y="662019"/>
          <a:ext cx="803401" cy="8577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en-US" sz="1100" b="0" i="0" u="none" strike="noStrike" baseline="0">
              <a:solidFill>
                <a:srgbClr val="000000"/>
              </a:solidFill>
              <a:latin typeface="Calibri"/>
            </a:rPr>
            <a:t>Lag-1 Plot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zoomScale="85" zoomScaleNormal="85" workbookViewId="0">
      <selection activeCell="A3" sqref="A3"/>
    </sheetView>
  </sheetViews>
  <sheetFormatPr defaultRowHeight="15" x14ac:dyDescent="0.25"/>
  <sheetData>
    <row r="1" spans="1:1" x14ac:dyDescent="0.25">
      <c r="A1" s="1" t="s">
        <v>0</v>
      </c>
    </row>
    <row r="2" spans="1:1" x14ac:dyDescent="0.25">
      <c r="A2" s="1" t="s">
        <v>1</v>
      </c>
    </row>
    <row r="5" spans="1:1" x14ac:dyDescent="0.25">
      <c r="A5" s="1" t="s">
        <v>2</v>
      </c>
    </row>
    <row r="7" spans="1:1" x14ac:dyDescent="0.25">
      <c r="A7" s="1" t="s">
        <v>3</v>
      </c>
    </row>
    <row r="8" spans="1:1" x14ac:dyDescent="0.25">
      <c r="A8" s="1" t="s">
        <v>4</v>
      </c>
    </row>
    <row r="9" spans="1:1" x14ac:dyDescent="0.25">
      <c r="A9" s="1" t="s">
        <v>5</v>
      </c>
    </row>
    <row r="10" spans="1:1" x14ac:dyDescent="0.25">
      <c r="A10" s="1" t="s">
        <v>6</v>
      </c>
    </row>
    <row r="11" spans="1:1" x14ac:dyDescent="0.25">
      <c r="A11" s="1" t="s">
        <v>7</v>
      </c>
    </row>
    <row r="12" spans="1:1" x14ac:dyDescent="0.25">
      <c r="A12" s="1" t="s">
        <v>8</v>
      </c>
    </row>
    <row r="14" spans="1:1" x14ac:dyDescent="0.25">
      <c r="A14" s="1" t="s">
        <v>9</v>
      </c>
    </row>
    <row r="15" spans="1:1" x14ac:dyDescent="0.25">
      <c r="A15" s="1" t="s">
        <v>10</v>
      </c>
    </row>
    <row r="16" spans="1:1" x14ac:dyDescent="0.25">
      <c r="A16" s="1" t="s">
        <v>11</v>
      </c>
    </row>
    <row r="17" spans="1:1" x14ac:dyDescent="0.25">
      <c r="A17" s="1" t="s">
        <v>12</v>
      </c>
    </row>
    <row r="18" spans="1:1" x14ac:dyDescent="0.25">
      <c r="A18" s="1" t="s">
        <v>13</v>
      </c>
    </row>
    <row r="19" spans="1:1" x14ac:dyDescent="0.25">
      <c r="A19" s="1" t="s">
        <v>14</v>
      </c>
    </row>
    <row r="21" spans="1:1" x14ac:dyDescent="0.25">
      <c r="A21" s="1" t="s">
        <v>15</v>
      </c>
    </row>
    <row r="22" spans="1:1" x14ac:dyDescent="0.25">
      <c r="A22" s="1" t="s">
        <v>16</v>
      </c>
    </row>
    <row r="24" spans="1:1" x14ac:dyDescent="0.25">
      <c r="A24" s="1" t="s">
        <v>17</v>
      </c>
    </row>
    <row r="25" spans="1:1" x14ac:dyDescent="0.25">
      <c r="A25" s="1" t="s">
        <v>18</v>
      </c>
    </row>
    <row r="27" spans="1:1" x14ac:dyDescent="0.25">
      <c r="A27" s="1" t="s">
        <v>19</v>
      </c>
    </row>
    <row r="29" spans="1:1" x14ac:dyDescent="0.25">
      <c r="A29" s="1" t="s">
        <v>20</v>
      </c>
    </row>
    <row r="31" spans="1:1" x14ac:dyDescent="0.25">
      <c r="A31" s="1" t="s">
        <v>21</v>
      </c>
    </row>
    <row r="32" spans="1:1" x14ac:dyDescent="0.25">
      <c r="A32" s="1" t="s">
        <v>22</v>
      </c>
    </row>
    <row r="33" spans="1:1" x14ac:dyDescent="0.25">
      <c r="A33" s="1" t="s">
        <v>23</v>
      </c>
    </row>
    <row r="34" spans="1:1" x14ac:dyDescent="0.25">
      <c r="A34" s="1" t="s">
        <v>24</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25"/>
  <sheetViews>
    <sheetView workbookViewId="0">
      <selection activeCell="D21" sqref="D21"/>
    </sheetView>
  </sheetViews>
  <sheetFormatPr defaultRowHeight="15" x14ac:dyDescent="0.25"/>
  <sheetData>
    <row r="6" spans="3:7" x14ac:dyDescent="0.25">
      <c r="C6" s="1" t="s">
        <v>25</v>
      </c>
      <c r="D6" s="1" t="s">
        <v>26</v>
      </c>
      <c r="E6" s="1" t="s">
        <v>27</v>
      </c>
      <c r="F6" s="1" t="s">
        <v>28</v>
      </c>
      <c r="G6" s="1" t="s">
        <v>29</v>
      </c>
    </row>
    <row r="7" spans="3:7" x14ac:dyDescent="0.25">
      <c r="C7" s="1">
        <v>1</v>
      </c>
      <c r="D7" s="1">
        <v>3</v>
      </c>
      <c r="E7" s="1">
        <f t="shared" ref="E7:E16" si="0">3*C7+-5*D7+20</f>
        <v>8</v>
      </c>
      <c r="F7" s="1">
        <v>-9</v>
      </c>
      <c r="G7" s="1">
        <f t="shared" ref="G7:G16" si="1">E7+F7</f>
        <v>-1</v>
      </c>
    </row>
    <row r="8" spans="3:7" x14ac:dyDescent="0.25">
      <c r="C8" s="1">
        <v>4</v>
      </c>
      <c r="D8" s="1">
        <v>7</v>
      </c>
      <c r="E8" s="1">
        <f t="shared" si="0"/>
        <v>-3</v>
      </c>
      <c r="F8" s="1">
        <v>0</v>
      </c>
      <c r="G8" s="1">
        <f t="shared" si="1"/>
        <v>-3</v>
      </c>
    </row>
    <row r="9" spans="3:7" x14ac:dyDescent="0.25">
      <c r="C9" s="1">
        <v>5</v>
      </c>
      <c r="D9" s="1">
        <v>1</v>
      </c>
      <c r="E9" s="1">
        <f t="shared" si="0"/>
        <v>30</v>
      </c>
      <c r="F9" s="1">
        <v>-3</v>
      </c>
      <c r="G9" s="1">
        <f t="shared" si="1"/>
        <v>27</v>
      </c>
    </row>
    <row r="10" spans="3:7" x14ac:dyDescent="0.25">
      <c r="C10" s="1">
        <v>3</v>
      </c>
      <c r="D10" s="1">
        <v>3</v>
      </c>
      <c r="E10" s="1">
        <f t="shared" si="0"/>
        <v>14</v>
      </c>
      <c r="F10" s="1">
        <v>-5</v>
      </c>
      <c r="G10" s="1">
        <f t="shared" si="1"/>
        <v>9</v>
      </c>
    </row>
    <row r="11" spans="3:7" x14ac:dyDescent="0.25">
      <c r="C11" s="1">
        <v>5</v>
      </c>
      <c r="D11" s="1">
        <v>6</v>
      </c>
      <c r="E11" s="1">
        <f t="shared" si="0"/>
        <v>5</v>
      </c>
      <c r="F11" s="1">
        <v>1</v>
      </c>
      <c r="G11" s="1">
        <f t="shared" si="1"/>
        <v>6</v>
      </c>
    </row>
    <row r="12" spans="3:7" x14ac:dyDescent="0.25">
      <c r="C12" s="1">
        <v>6</v>
      </c>
      <c r="D12" s="1">
        <v>6</v>
      </c>
      <c r="E12" s="1">
        <f t="shared" si="0"/>
        <v>8</v>
      </c>
      <c r="F12" s="1">
        <v>9</v>
      </c>
      <c r="G12" s="1">
        <f t="shared" si="1"/>
        <v>17</v>
      </c>
    </row>
    <row r="13" spans="3:7" x14ac:dyDescent="0.25">
      <c r="C13" s="1">
        <v>6</v>
      </c>
      <c r="D13" s="1">
        <v>1</v>
      </c>
      <c r="E13" s="1">
        <f t="shared" si="0"/>
        <v>33</v>
      </c>
      <c r="F13" s="1">
        <v>-4</v>
      </c>
      <c r="G13" s="1">
        <f t="shared" si="1"/>
        <v>29</v>
      </c>
    </row>
    <row r="14" spans="3:7" x14ac:dyDescent="0.25">
      <c r="C14" s="1">
        <v>4</v>
      </c>
      <c r="D14" s="1">
        <v>5</v>
      </c>
      <c r="E14" s="1">
        <f t="shared" si="0"/>
        <v>7</v>
      </c>
      <c r="F14" s="1">
        <v>-9</v>
      </c>
      <c r="G14" s="1">
        <f t="shared" si="1"/>
        <v>-2</v>
      </c>
    </row>
    <row r="15" spans="3:7" x14ac:dyDescent="0.25">
      <c r="C15" s="1">
        <v>2</v>
      </c>
      <c r="D15" s="1">
        <v>4</v>
      </c>
      <c r="E15" s="1">
        <f t="shared" si="0"/>
        <v>6</v>
      </c>
      <c r="F15" s="1">
        <v>8</v>
      </c>
      <c r="G15" s="1">
        <f t="shared" si="1"/>
        <v>14</v>
      </c>
    </row>
    <row r="16" spans="3:7" x14ac:dyDescent="0.25">
      <c r="C16" s="1">
        <v>8</v>
      </c>
      <c r="D16" s="1">
        <v>5</v>
      </c>
      <c r="E16" s="1">
        <f t="shared" si="0"/>
        <v>19</v>
      </c>
      <c r="F16" s="1">
        <v>3</v>
      </c>
      <c r="G16" s="1">
        <f t="shared" si="1"/>
        <v>22</v>
      </c>
    </row>
    <row r="19" spans="3:7" x14ac:dyDescent="0.25">
      <c r="C19" s="1" t="s">
        <v>30</v>
      </c>
    </row>
    <row r="20" spans="3:7" x14ac:dyDescent="0.25">
      <c r="C20" s="1" t="s">
        <v>25</v>
      </c>
      <c r="D20" s="1" t="s">
        <v>26</v>
      </c>
      <c r="G20" s="1" t="s">
        <v>29</v>
      </c>
    </row>
    <row r="21" spans="3:7" x14ac:dyDescent="0.25">
      <c r="C21" s="1">
        <v>6</v>
      </c>
      <c r="D21" s="1">
        <v>4</v>
      </c>
      <c r="E21" s="1">
        <f>3*C21+-5*D21+20</f>
        <v>18</v>
      </c>
      <c r="F21" s="1">
        <v>-3</v>
      </c>
      <c r="G21" s="1">
        <f>E21+F21</f>
        <v>15</v>
      </c>
    </row>
    <row r="22" spans="3:7" x14ac:dyDescent="0.25">
      <c r="C22" s="1">
        <v>7</v>
      </c>
      <c r="D22" s="1">
        <v>3</v>
      </c>
      <c r="E22" s="1">
        <f>3*C22+-5*D22+20</f>
        <v>26</v>
      </c>
      <c r="F22" s="1">
        <v>1</v>
      </c>
      <c r="G22" s="1">
        <f>E22+F22</f>
        <v>27</v>
      </c>
    </row>
    <row r="23" spans="3:7" x14ac:dyDescent="0.25">
      <c r="C23" s="1">
        <v>7</v>
      </c>
      <c r="D23" s="1">
        <v>6</v>
      </c>
      <c r="E23" s="1">
        <f>3*C23+-5*D23+20</f>
        <v>11</v>
      </c>
      <c r="F23" s="1">
        <v>5</v>
      </c>
      <c r="G23" s="1">
        <f>E23+F23</f>
        <v>16</v>
      </c>
    </row>
    <row r="24" spans="3:7" x14ac:dyDescent="0.25">
      <c r="C24" s="1">
        <v>5</v>
      </c>
      <c r="D24" s="1">
        <v>3</v>
      </c>
      <c r="E24" s="1">
        <f>3*C24+-5*D24+20</f>
        <v>20</v>
      </c>
      <c r="F24" s="1">
        <v>7</v>
      </c>
      <c r="G24" s="1">
        <f>E24+F24</f>
        <v>27</v>
      </c>
    </row>
    <row r="25" spans="3:7" x14ac:dyDescent="0.25">
      <c r="C25" s="1">
        <v>5</v>
      </c>
      <c r="D25" s="1">
        <v>4</v>
      </c>
      <c r="E25" s="1">
        <f>3*C25+-5*D25+20</f>
        <v>15</v>
      </c>
      <c r="F25" s="1">
        <v>3</v>
      </c>
      <c r="G25" s="1">
        <f>E25+F25</f>
        <v>18</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6"/>
  <sheetViews>
    <sheetView workbookViewId="0">
      <selection activeCell="E22" sqref="E22"/>
    </sheetView>
  </sheetViews>
  <sheetFormatPr defaultRowHeight="15" x14ac:dyDescent="0.25"/>
  <sheetData>
    <row r="6" spans="3:7" x14ac:dyDescent="0.25">
      <c r="C6" s="1" t="s">
        <v>25</v>
      </c>
      <c r="D6" s="1" t="s">
        <v>26</v>
      </c>
      <c r="E6" s="1" t="s">
        <v>27</v>
      </c>
      <c r="F6" s="1" t="s">
        <v>28</v>
      </c>
      <c r="G6" s="1" t="s">
        <v>29</v>
      </c>
    </row>
    <row r="7" spans="3:7" x14ac:dyDescent="0.25">
      <c r="C7" s="1">
        <v>1</v>
      </c>
      <c r="D7" s="1">
        <v>3</v>
      </c>
      <c r="E7" s="1">
        <f>3*C7+-5*D7+20</f>
        <v>8</v>
      </c>
      <c r="F7" s="1">
        <v>-9</v>
      </c>
      <c r="G7" s="1">
        <f>E7+F7</f>
        <v>-1</v>
      </c>
    </row>
    <row r="8" spans="3:7" x14ac:dyDescent="0.25">
      <c r="C8" s="1">
        <v>4</v>
      </c>
      <c r="D8" s="1">
        <v>7</v>
      </c>
      <c r="E8" s="1">
        <f t="shared" ref="E8:E16" si="0">3*C8+-5*D8+20</f>
        <v>-3</v>
      </c>
      <c r="F8" s="1">
        <v>0</v>
      </c>
      <c r="G8" s="1">
        <f t="shared" ref="G8:G16" si="1">E8+F8</f>
        <v>-3</v>
      </c>
    </row>
    <row r="9" spans="3:7" x14ac:dyDescent="0.25">
      <c r="C9" s="1">
        <v>5</v>
      </c>
      <c r="D9" s="1">
        <v>1</v>
      </c>
      <c r="E9" s="1">
        <f t="shared" si="0"/>
        <v>30</v>
      </c>
      <c r="F9" s="1">
        <v>-3</v>
      </c>
      <c r="G9" s="1">
        <f t="shared" si="1"/>
        <v>27</v>
      </c>
    </row>
    <row r="10" spans="3:7" x14ac:dyDescent="0.25">
      <c r="C10" s="1">
        <v>3</v>
      </c>
      <c r="D10" s="1">
        <v>3</v>
      </c>
      <c r="E10" s="1">
        <f t="shared" si="0"/>
        <v>14</v>
      </c>
      <c r="F10" s="1">
        <v>-5</v>
      </c>
      <c r="G10" s="1">
        <f t="shared" si="1"/>
        <v>9</v>
      </c>
    </row>
    <row r="11" spans="3:7" x14ac:dyDescent="0.25">
      <c r="C11" s="1">
        <v>5</v>
      </c>
      <c r="D11" s="1">
        <v>6</v>
      </c>
      <c r="E11" s="1">
        <f t="shared" si="0"/>
        <v>5</v>
      </c>
      <c r="F11" s="1">
        <v>1</v>
      </c>
      <c r="G11" s="1">
        <f t="shared" si="1"/>
        <v>6</v>
      </c>
    </row>
    <row r="12" spans="3:7" x14ac:dyDescent="0.25">
      <c r="C12" s="1">
        <v>6</v>
      </c>
      <c r="D12" s="1">
        <v>6</v>
      </c>
      <c r="E12" s="1">
        <f t="shared" si="0"/>
        <v>8</v>
      </c>
      <c r="F12" s="1">
        <v>9</v>
      </c>
      <c r="G12" s="1">
        <f t="shared" si="1"/>
        <v>17</v>
      </c>
    </row>
    <row r="13" spans="3:7" x14ac:dyDescent="0.25">
      <c r="C13" s="1">
        <v>6</v>
      </c>
      <c r="D13" s="1">
        <v>1</v>
      </c>
      <c r="E13" s="1">
        <f t="shared" si="0"/>
        <v>33</v>
      </c>
      <c r="F13" s="1">
        <v>-4</v>
      </c>
      <c r="G13" s="1">
        <f t="shared" si="1"/>
        <v>29</v>
      </c>
    </row>
    <row r="14" spans="3:7" x14ac:dyDescent="0.25">
      <c r="C14" s="1">
        <v>4</v>
      </c>
      <c r="D14" s="1">
        <v>5</v>
      </c>
      <c r="E14" s="1">
        <f t="shared" si="0"/>
        <v>7</v>
      </c>
      <c r="F14" s="1">
        <v>-9</v>
      </c>
      <c r="G14" s="1">
        <f t="shared" si="1"/>
        <v>-2</v>
      </c>
    </row>
    <row r="15" spans="3:7" x14ac:dyDescent="0.25">
      <c r="C15" s="1">
        <v>2</v>
      </c>
      <c r="D15" s="1">
        <v>4</v>
      </c>
      <c r="E15" s="1">
        <f t="shared" si="0"/>
        <v>6</v>
      </c>
      <c r="F15" s="1">
        <v>8</v>
      </c>
      <c r="G15" s="1">
        <f t="shared" si="1"/>
        <v>14</v>
      </c>
    </row>
    <row r="16" spans="3:7" x14ac:dyDescent="0.25">
      <c r="C16" s="1">
        <v>8</v>
      </c>
      <c r="D16" s="1">
        <v>5</v>
      </c>
      <c r="E16" s="1">
        <f t="shared" si="0"/>
        <v>19</v>
      </c>
      <c r="F16" s="1">
        <v>3</v>
      </c>
      <c r="G16" s="1">
        <f t="shared" si="1"/>
        <v>22</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85" zoomScaleNormal="85" workbookViewId="0">
      <selection activeCell="F17" sqref="F17:I19"/>
    </sheetView>
  </sheetViews>
  <sheetFormatPr defaultRowHeight="15" x14ac:dyDescent="0.25"/>
  <sheetData>
    <row r="1" spans="1:9" x14ac:dyDescent="0.25">
      <c r="A1" s="1" t="s">
        <v>31</v>
      </c>
    </row>
    <row r="3" spans="1:9" x14ac:dyDescent="0.25">
      <c r="A3" s="32" t="s">
        <v>32</v>
      </c>
      <c r="B3" s="32"/>
    </row>
    <row r="4" spans="1:9" x14ac:dyDescent="0.25">
      <c r="A4" s="3" t="s">
        <v>33</v>
      </c>
      <c r="B4" s="3">
        <v>0.89031762040452511</v>
      </c>
    </row>
    <row r="5" spans="1:9" x14ac:dyDescent="0.25">
      <c r="A5" s="3" t="s">
        <v>34</v>
      </c>
      <c r="B5" s="3">
        <v>0.79266546520277603</v>
      </c>
    </row>
    <row r="6" spans="1:9" x14ac:dyDescent="0.25">
      <c r="A6" s="3" t="s">
        <v>35</v>
      </c>
      <c r="B6" s="3">
        <v>0.7334270266892835</v>
      </c>
    </row>
    <row r="7" spans="1:9" x14ac:dyDescent="0.25">
      <c r="A7" s="3" t="s">
        <v>36</v>
      </c>
      <c r="B7" s="3">
        <v>6.1515457018881881</v>
      </c>
    </row>
    <row r="8" spans="1:9" x14ac:dyDescent="0.25">
      <c r="A8" s="4" t="s">
        <v>37</v>
      </c>
      <c r="B8" s="4">
        <v>10</v>
      </c>
    </row>
    <row r="10" spans="1:9" x14ac:dyDescent="0.25">
      <c r="A10" s="1" t="s">
        <v>38</v>
      </c>
    </row>
    <row r="11" spans="1:9" x14ac:dyDescent="0.25">
      <c r="A11" s="2"/>
      <c r="B11" s="2" t="s">
        <v>39</v>
      </c>
      <c r="C11" s="2" t="s">
        <v>40</v>
      </c>
      <c r="D11" s="2" t="s">
        <v>41</v>
      </c>
      <c r="E11" s="2" t="s">
        <v>42</v>
      </c>
      <c r="F11" s="2" t="s">
        <v>43</v>
      </c>
    </row>
    <row r="12" spans="1:9" x14ac:dyDescent="0.25">
      <c r="A12" s="3" t="s">
        <v>44</v>
      </c>
      <c r="B12" s="3">
        <v>2</v>
      </c>
      <c r="C12" s="3">
        <v>1012.7093983430666</v>
      </c>
      <c r="D12" s="3">
        <v>506.3546991715333</v>
      </c>
      <c r="E12" s="3">
        <v>13.380931116579536</v>
      </c>
      <c r="F12" s="3">
        <v>4.0583618163620265E-3</v>
      </c>
    </row>
    <row r="13" spans="1:9" x14ac:dyDescent="0.25">
      <c r="A13" s="3" t="s">
        <v>45</v>
      </c>
      <c r="B13" s="3">
        <v>7</v>
      </c>
      <c r="C13" s="3">
        <v>264.89060165693326</v>
      </c>
      <c r="D13" s="3">
        <v>37.84151452241904</v>
      </c>
      <c r="E13" s="3"/>
      <c r="F13" s="3"/>
    </row>
    <row r="14" spans="1:9" x14ac:dyDescent="0.25">
      <c r="A14" s="4" t="s">
        <v>46</v>
      </c>
      <c r="B14" s="4">
        <v>9</v>
      </c>
      <c r="C14" s="4">
        <v>1277.5999999999999</v>
      </c>
      <c r="D14" s="4"/>
      <c r="E14" s="4"/>
      <c r="F14" s="4"/>
    </row>
    <row r="16" spans="1:9" x14ac:dyDescent="0.25">
      <c r="A16" s="2"/>
      <c r="B16" s="2" t="s">
        <v>47</v>
      </c>
      <c r="C16" s="2" t="s">
        <v>36</v>
      </c>
      <c r="D16" s="2" t="s">
        <v>48</v>
      </c>
      <c r="E16" s="2" t="s">
        <v>49</v>
      </c>
      <c r="F16" s="2" t="s">
        <v>50</v>
      </c>
      <c r="G16" s="2" t="s">
        <v>51</v>
      </c>
      <c r="H16" s="2" t="s">
        <v>52</v>
      </c>
      <c r="I16" s="2" t="s">
        <v>53</v>
      </c>
    </row>
    <row r="17" spans="1:9" x14ac:dyDescent="0.25">
      <c r="A17" s="3" t="s">
        <v>54</v>
      </c>
      <c r="B17" s="3">
        <v>10.355357870433242</v>
      </c>
      <c r="C17" s="3">
        <v>5.9547792193947648</v>
      </c>
      <c r="D17" s="3">
        <v>1.7389994639441468</v>
      </c>
      <c r="E17" s="3">
        <v>0.12559191655097224</v>
      </c>
      <c r="F17" s="3">
        <v>-3.7254574846283717</v>
      </c>
      <c r="G17" s="3">
        <v>24.436173225494855</v>
      </c>
      <c r="H17" s="3">
        <v>-0.92643943666665507</v>
      </c>
      <c r="I17" s="3">
        <v>21.637155177533138</v>
      </c>
    </row>
    <row r="18" spans="1:9" x14ac:dyDescent="0.25">
      <c r="A18" s="3" t="s">
        <v>25</v>
      </c>
      <c r="B18" s="3">
        <v>3.8901942143148189</v>
      </c>
      <c r="C18" s="3">
        <v>0.9998081151369218</v>
      </c>
      <c r="D18" s="3">
        <v>3.890940826962646</v>
      </c>
      <c r="E18" s="3">
        <v>5.9681475997974513E-3</v>
      </c>
      <c r="F18" s="3">
        <v>1.5260236983227822</v>
      </c>
      <c r="G18" s="3">
        <v>6.2543647303068557</v>
      </c>
      <c r="H18" s="3">
        <v>1.9959791501810402</v>
      </c>
      <c r="I18" s="3">
        <v>5.7844092784485976</v>
      </c>
    </row>
    <row r="19" spans="1:9" x14ac:dyDescent="0.25">
      <c r="A19" s="4" t="s">
        <v>26</v>
      </c>
      <c r="B19" s="4">
        <v>-3.8224908325410847</v>
      </c>
      <c r="C19" s="4">
        <v>0.99336183183983562</v>
      </c>
      <c r="D19" s="4">
        <v>-3.8480347341928098</v>
      </c>
      <c r="E19" s="4">
        <v>6.3084855573993038E-3</v>
      </c>
      <c r="F19" s="4">
        <v>-6.1714183107161933</v>
      </c>
      <c r="G19" s="4">
        <v>-1.4735633543659756</v>
      </c>
      <c r="H19" s="4">
        <v>-5.7044929062578547</v>
      </c>
      <c r="I19" s="4">
        <v>-1.9404887588243145</v>
      </c>
    </row>
    <row r="23" spans="1:9" x14ac:dyDescent="0.25">
      <c r="A23" s="1" t="s">
        <v>55</v>
      </c>
    </row>
    <row r="25" spans="1:9" x14ac:dyDescent="0.25">
      <c r="A25" s="2" t="s">
        <v>56</v>
      </c>
      <c r="B25" s="2" t="s">
        <v>57</v>
      </c>
      <c r="C25" s="2" t="s">
        <v>58</v>
      </c>
      <c r="D25" s="2" t="s">
        <v>59</v>
      </c>
    </row>
    <row r="26" spans="1:9" x14ac:dyDescent="0.25">
      <c r="A26" s="3">
        <v>1</v>
      </c>
      <c r="B26" s="3">
        <v>2.7780795871248074</v>
      </c>
      <c r="C26" s="3">
        <v>-3.7780795871248074</v>
      </c>
      <c r="D26" s="3">
        <v>-0.69640051265305636</v>
      </c>
    </row>
    <row r="27" spans="1:9" x14ac:dyDescent="0.25">
      <c r="A27" s="3">
        <v>2</v>
      </c>
      <c r="B27" s="3">
        <v>-0.84130110009507675</v>
      </c>
      <c r="C27" s="3">
        <v>-2.1586988999049233</v>
      </c>
      <c r="D27" s="3">
        <v>-0.3979055988339919</v>
      </c>
    </row>
    <row r="28" spans="1:9" x14ac:dyDescent="0.25">
      <c r="A28" s="3">
        <v>3</v>
      </c>
      <c r="B28" s="3">
        <v>25.983838109466252</v>
      </c>
      <c r="C28" s="3">
        <v>1.0161618905337484</v>
      </c>
      <c r="D28" s="3">
        <v>0.18730565229959625</v>
      </c>
    </row>
    <row r="29" spans="1:9" x14ac:dyDescent="0.25">
      <c r="A29" s="3">
        <v>4</v>
      </c>
      <c r="B29" s="3">
        <v>10.558468015754444</v>
      </c>
      <c r="C29" s="3">
        <v>-1.5584680157544444</v>
      </c>
      <c r="D29" s="3">
        <v>-0.28726708903205894</v>
      </c>
    </row>
    <row r="30" spans="1:9" x14ac:dyDescent="0.25">
      <c r="A30" s="3">
        <v>5</v>
      </c>
      <c r="B30" s="3">
        <v>6.8713839467608295</v>
      </c>
      <c r="C30" s="3">
        <v>-0.87138394676082953</v>
      </c>
      <c r="D30" s="3">
        <v>-0.16061922816816479</v>
      </c>
    </row>
    <row r="31" spans="1:9" x14ac:dyDescent="0.25">
      <c r="A31" s="3">
        <v>6</v>
      </c>
      <c r="B31" s="3">
        <v>10.761578161075651</v>
      </c>
      <c r="C31" s="3">
        <v>6.2384218389243493</v>
      </c>
      <c r="D31" s="3">
        <v>1.1499070007890289</v>
      </c>
    </row>
    <row r="32" spans="1:9" x14ac:dyDescent="0.25">
      <c r="A32" s="3">
        <v>7</v>
      </c>
      <c r="B32" s="3">
        <v>29.874032323781073</v>
      </c>
      <c r="C32" s="3">
        <v>-0.87403232378107276</v>
      </c>
      <c r="D32" s="3">
        <v>-0.16110739446325323</v>
      </c>
    </row>
    <row r="33" spans="1:4" x14ac:dyDescent="0.25">
      <c r="A33" s="3">
        <v>8</v>
      </c>
      <c r="B33" s="3">
        <v>6.8036805649870935</v>
      </c>
      <c r="C33" s="3">
        <v>-8.8036805649870935</v>
      </c>
      <c r="D33" s="3">
        <v>-1.6227523844611453</v>
      </c>
    </row>
    <row r="34" spans="1:4" x14ac:dyDescent="0.25">
      <c r="A34" s="3">
        <v>9</v>
      </c>
      <c r="B34" s="3">
        <v>2.8457829688985417</v>
      </c>
      <c r="C34" s="3">
        <v>11.154217031101458</v>
      </c>
      <c r="D34" s="3">
        <v>2.056018746977736</v>
      </c>
    </row>
    <row r="35" spans="1:4" x14ac:dyDescent="0.25">
      <c r="A35" s="4">
        <v>10</v>
      </c>
      <c r="B35" s="4">
        <v>22.364457422246371</v>
      </c>
      <c r="C35" s="4">
        <v>-0.36445742224637101</v>
      </c>
      <c r="D35" s="4">
        <v>-6.7179192454687633E-2</v>
      </c>
    </row>
  </sheetData>
  <sheetProtection selectLockedCells="1" selectUnlockedCells="1"/>
  <mergeCells count="1">
    <mergeCell ref="A3:B3"/>
  </mergeCells>
  <pageMargins left="0.7" right="0.7" top="0.75" bottom="0.75" header="0.51180555555555551" footer="0.51180555555555551"/>
  <pageSetup firstPageNumber="0"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79"/>
  <sheetViews>
    <sheetView tabSelected="1" zoomScale="55" zoomScaleNormal="55" workbookViewId="0">
      <selection activeCell="J3" sqref="J3"/>
    </sheetView>
  </sheetViews>
  <sheetFormatPr defaultRowHeight="15" x14ac:dyDescent="0.25"/>
  <cols>
    <col min="1" max="1" width="17.140625" style="1" customWidth="1"/>
    <col min="2" max="3" width="14.85546875" style="1" customWidth="1"/>
    <col min="4" max="4" width="13" style="1" customWidth="1"/>
    <col min="5" max="5" width="12.42578125" style="1" customWidth="1"/>
    <col min="6" max="6" width="12.140625" style="1" customWidth="1"/>
    <col min="7" max="7" width="10" style="1" customWidth="1"/>
    <col min="8" max="8" width="11.5703125" style="1" customWidth="1"/>
    <col min="9" max="9" width="11.42578125" style="1" customWidth="1"/>
    <col min="10" max="10" width="22.140625" style="1" customWidth="1"/>
    <col min="11" max="11" width="11.140625" style="1" customWidth="1"/>
    <col min="12" max="12" width="10.28515625" style="1" customWidth="1"/>
    <col min="13" max="18" width="9.28515625" style="1" customWidth="1"/>
    <col min="19" max="19" width="10.42578125" style="1" customWidth="1"/>
    <col min="20" max="20" width="11.42578125" style="1" customWidth="1"/>
    <col min="21" max="21" width="6.5703125" style="1" customWidth="1"/>
    <col min="22" max="22" width="11.42578125" style="1" customWidth="1"/>
    <col min="23" max="23" width="12.140625" style="1" customWidth="1"/>
    <col min="24" max="24" width="13.28515625" style="1" customWidth="1"/>
    <col min="25" max="37" width="9.28515625" style="1" customWidth="1"/>
    <col min="52" max="52" width="32" style="1" customWidth="1"/>
  </cols>
  <sheetData>
    <row r="1" spans="1:74" x14ac:dyDescent="0.25">
      <c r="A1" s="1" t="s">
        <v>60</v>
      </c>
      <c r="D1" s="1" t="s">
        <v>61</v>
      </c>
      <c r="H1" s="1" t="s">
        <v>16</v>
      </c>
      <c r="N1" s="1" t="s">
        <v>15</v>
      </c>
      <c r="BE1" s="1" t="s">
        <v>62</v>
      </c>
      <c r="BG1" s="1" t="s">
        <v>63</v>
      </c>
      <c r="BK1" s="1">
        <f ca="1">COUNT(BE2:BU2)</f>
        <v>3</v>
      </c>
    </row>
    <row r="2" spans="1:74" x14ac:dyDescent="0.25">
      <c r="D2" s="1" t="s">
        <v>64</v>
      </c>
      <c r="I2" s="1" t="s">
        <v>65</v>
      </c>
      <c r="J2" s="1" t="s">
        <v>162</v>
      </c>
      <c r="K2" s="1" t="s">
        <v>67</v>
      </c>
      <c r="L2" s="1" t="s">
        <v>68</v>
      </c>
      <c r="M2" s="1" t="s">
        <v>69</v>
      </c>
      <c r="BE2" s="5">
        <f t="array" aca="1" ref="BE2:BU6" ca="1">LINEST(INDIRECT(BA7),INDIRECT(BA8),I7,TRUE)</f>
        <v>-3.8224908325410847</v>
      </c>
      <c r="BF2" s="6">
        <f ca="1"/>
        <v>3.8901942143148189</v>
      </c>
      <c r="BG2" s="6">
        <f ca="1"/>
        <v>10.355357870433242</v>
      </c>
      <c r="BH2" s="6" t="e">
        <f ca="1"/>
        <v>#N/A</v>
      </c>
      <c r="BI2" s="6" t="e">
        <f ca="1"/>
        <v>#N/A</v>
      </c>
      <c r="BJ2" s="6" t="e">
        <f ca="1"/>
        <v>#N/A</v>
      </c>
      <c r="BK2" s="6" t="e">
        <f ca="1"/>
        <v>#N/A</v>
      </c>
      <c r="BL2" s="6" t="e">
        <f ca="1"/>
        <v>#N/A</v>
      </c>
      <c r="BM2" s="6" t="e">
        <f ca="1"/>
        <v>#N/A</v>
      </c>
      <c r="BN2" s="6" t="e">
        <f ca="1"/>
        <v>#N/A</v>
      </c>
      <c r="BO2" s="6" t="e">
        <f ca="1"/>
        <v>#N/A</v>
      </c>
      <c r="BP2" s="6" t="e">
        <f ca="1"/>
        <v>#N/A</v>
      </c>
      <c r="BQ2" s="6" t="e">
        <f ca="1"/>
        <v>#N/A</v>
      </c>
      <c r="BR2" s="6" t="e">
        <f ca="1"/>
        <v>#N/A</v>
      </c>
      <c r="BS2" s="6" t="e">
        <f ca="1"/>
        <v>#N/A</v>
      </c>
      <c r="BT2" s="6" t="e">
        <f ca="1"/>
        <v>#N/A</v>
      </c>
      <c r="BU2" s="7" t="e">
        <f ca="1"/>
        <v>#N/A</v>
      </c>
    </row>
    <row r="3" spans="1:74" x14ac:dyDescent="0.25">
      <c r="A3" s="32" t="s">
        <v>32</v>
      </c>
      <c r="B3" s="32"/>
      <c r="D3" s="1" t="s">
        <v>70</v>
      </c>
      <c r="H3" s="1" t="s">
        <v>71</v>
      </c>
      <c r="I3" s="29" t="s">
        <v>72</v>
      </c>
      <c r="J3" s="29" t="s">
        <v>73</v>
      </c>
      <c r="L3" s="29">
        <v>7</v>
      </c>
      <c r="M3" s="29">
        <f ca="1">L3-1+COUNT(OFFSET(INDIRECT(BA3),0,0,65535-L3,1))</f>
        <v>16</v>
      </c>
      <c r="P3" s="1" t="s">
        <v>74</v>
      </c>
      <c r="AZ3" s="1" t="s">
        <v>75</v>
      </c>
      <c r="BA3" s="1" t="str">
        <f>"'"&amp;$I3&amp;"'!"&amp;J3&amp;L3</f>
        <v>'sampledata2'!G7</v>
      </c>
      <c r="BE3" s="8">
        <f ca="1"/>
        <v>0.99336183183983562</v>
      </c>
      <c r="BF3" s="9">
        <f ca="1"/>
        <v>0.9998081151369218</v>
      </c>
      <c r="BG3" s="9">
        <f ca="1"/>
        <v>5.9547792193947648</v>
      </c>
      <c r="BH3" s="9" t="e">
        <f ca="1"/>
        <v>#N/A</v>
      </c>
      <c r="BI3" s="9" t="e">
        <f ca="1"/>
        <v>#N/A</v>
      </c>
      <c r="BJ3" s="9" t="e">
        <f ca="1"/>
        <v>#N/A</v>
      </c>
      <c r="BK3" s="9" t="e">
        <f ca="1"/>
        <v>#N/A</v>
      </c>
      <c r="BL3" s="9" t="e">
        <f ca="1"/>
        <v>#N/A</v>
      </c>
      <c r="BM3" s="9" t="e">
        <f ca="1"/>
        <v>#N/A</v>
      </c>
      <c r="BN3" s="9" t="e">
        <f ca="1"/>
        <v>#N/A</v>
      </c>
      <c r="BO3" s="9" t="e">
        <f ca="1"/>
        <v>#N/A</v>
      </c>
      <c r="BP3" s="9" t="e">
        <f ca="1"/>
        <v>#N/A</v>
      </c>
      <c r="BQ3" s="9" t="e">
        <f ca="1"/>
        <v>#N/A</v>
      </c>
      <c r="BR3" s="9" t="e">
        <f ca="1"/>
        <v>#N/A</v>
      </c>
      <c r="BS3" s="9" t="e">
        <f ca="1"/>
        <v>#N/A</v>
      </c>
      <c r="BT3" s="9" t="e">
        <f ca="1"/>
        <v>#N/A</v>
      </c>
      <c r="BU3" s="10" t="e">
        <f ca="1"/>
        <v>#N/A</v>
      </c>
    </row>
    <row r="4" spans="1:74" x14ac:dyDescent="0.25">
      <c r="A4" s="3" t="s">
        <v>33</v>
      </c>
      <c r="B4" s="3">
        <f ca="1">SQRT(B5)</f>
        <v>0.89031762040452511</v>
      </c>
      <c r="H4" s="1" t="s">
        <v>76</v>
      </c>
      <c r="I4" s="30" t="str">
        <f>I3</f>
        <v>sampledata2</v>
      </c>
      <c r="J4" s="29" t="s">
        <v>77</v>
      </c>
      <c r="K4" s="29" t="s">
        <v>78</v>
      </c>
      <c r="L4" s="30">
        <f>L3</f>
        <v>7</v>
      </c>
      <c r="M4" s="30">
        <f ca="1">L4+(M3-L3)</f>
        <v>16</v>
      </c>
      <c r="P4" s="1" t="s">
        <v>79</v>
      </c>
      <c r="AZ4" s="1" t="s">
        <v>80</v>
      </c>
      <c r="BA4" s="1" t="str">
        <f>"'"&amp;$I4&amp;"'!"&amp;J4&amp;L4</f>
        <v>'sampledata2'!C7</v>
      </c>
      <c r="BE4" s="8">
        <f ca="1"/>
        <v>0.79266546520277603</v>
      </c>
      <c r="BF4" s="9">
        <f ca="1"/>
        <v>6.1515457018881881</v>
      </c>
      <c r="BG4" s="9" t="e">
        <f ca="1"/>
        <v>#N/A</v>
      </c>
      <c r="BH4" s="9" t="e">
        <f ca="1"/>
        <v>#N/A</v>
      </c>
      <c r="BI4" s="9" t="e">
        <f ca="1"/>
        <v>#N/A</v>
      </c>
      <c r="BJ4" s="9" t="e">
        <f ca="1"/>
        <v>#N/A</v>
      </c>
      <c r="BK4" s="9" t="e">
        <f ca="1"/>
        <v>#N/A</v>
      </c>
      <c r="BL4" s="9" t="e">
        <f ca="1"/>
        <v>#N/A</v>
      </c>
      <c r="BM4" s="9" t="e">
        <f ca="1"/>
        <v>#N/A</v>
      </c>
      <c r="BN4" s="9" t="e">
        <f ca="1"/>
        <v>#N/A</v>
      </c>
      <c r="BO4" s="9" t="e">
        <f ca="1"/>
        <v>#N/A</v>
      </c>
      <c r="BP4" s="9" t="e">
        <f ca="1"/>
        <v>#N/A</v>
      </c>
      <c r="BQ4" s="9" t="e">
        <f ca="1"/>
        <v>#N/A</v>
      </c>
      <c r="BR4" s="9" t="e">
        <f ca="1"/>
        <v>#N/A</v>
      </c>
      <c r="BS4" s="9" t="e">
        <f ca="1"/>
        <v>#N/A</v>
      </c>
      <c r="BT4" s="9" t="e">
        <f ca="1"/>
        <v>#N/A</v>
      </c>
      <c r="BU4" s="10" t="e">
        <f ca="1"/>
        <v>#N/A</v>
      </c>
    </row>
    <row r="5" spans="1:74" x14ac:dyDescent="0.25">
      <c r="A5" s="3" t="s">
        <v>34</v>
      </c>
      <c r="B5" s="3">
        <f ca="1">BE4</f>
        <v>0.79266546520277603</v>
      </c>
      <c r="D5" s="1" t="s">
        <v>161</v>
      </c>
      <c r="I5" s="1" t="s">
        <v>81</v>
      </c>
      <c r="P5" s="1" t="s">
        <v>82</v>
      </c>
      <c r="AZ5" s="1" t="s">
        <v>83</v>
      </c>
      <c r="BA5" s="1" t="str">
        <f>"'"&amp;$I4&amp;"'!"&amp;J4&amp;(L4-1)</f>
        <v>'sampledata2'!C6</v>
      </c>
      <c r="BE5" s="8">
        <f ca="1"/>
        <v>13.380931116579536</v>
      </c>
      <c r="BF5" s="9">
        <f ca="1"/>
        <v>7</v>
      </c>
      <c r="BG5" s="9" t="e">
        <f ca="1"/>
        <v>#N/A</v>
      </c>
      <c r="BH5" s="9" t="e">
        <f ca="1"/>
        <v>#N/A</v>
      </c>
      <c r="BI5" s="9" t="e">
        <f ca="1"/>
        <v>#N/A</v>
      </c>
      <c r="BJ5" s="9" t="e">
        <f ca="1"/>
        <v>#N/A</v>
      </c>
      <c r="BK5" s="9" t="e">
        <f ca="1"/>
        <v>#N/A</v>
      </c>
      <c r="BL5" s="9" t="e">
        <f ca="1"/>
        <v>#N/A</v>
      </c>
      <c r="BM5" s="9" t="e">
        <f ca="1"/>
        <v>#N/A</v>
      </c>
      <c r="BN5" s="9" t="e">
        <f ca="1"/>
        <v>#N/A</v>
      </c>
      <c r="BO5" s="9" t="e">
        <f ca="1"/>
        <v>#N/A</v>
      </c>
      <c r="BP5" s="9" t="e">
        <f ca="1"/>
        <v>#N/A</v>
      </c>
      <c r="BQ5" s="9" t="e">
        <f ca="1"/>
        <v>#N/A</v>
      </c>
      <c r="BR5" s="9" t="e">
        <f ca="1"/>
        <v>#N/A</v>
      </c>
      <c r="BS5" s="9" t="e">
        <f ca="1"/>
        <v>#N/A</v>
      </c>
      <c r="BT5" s="9" t="e">
        <f ca="1"/>
        <v>#N/A</v>
      </c>
      <c r="BU5" s="10" t="e">
        <f ca="1"/>
        <v>#N/A</v>
      </c>
    </row>
    <row r="6" spans="1:74" x14ac:dyDescent="0.25">
      <c r="A6" s="3" t="s">
        <v>35</v>
      </c>
      <c r="B6" s="3">
        <f ca="1">1-(1-B5)*(I9-1)/(I9-BE9-1)</f>
        <v>0.7334270266892835</v>
      </c>
      <c r="D6" s="1" t="str">
        <f ca="1">BC12</f>
        <v>y</v>
      </c>
      <c r="I6" s="1" t="s">
        <v>84</v>
      </c>
      <c r="P6" s="1" t="s">
        <v>85</v>
      </c>
      <c r="AZ6" s="1" t="s">
        <v>86</v>
      </c>
      <c r="BA6" s="1" t="str">
        <f>"'"&amp;$I3&amp;"'!"&amp;J3&amp;(L3-1)</f>
        <v>'sampledata2'!G6</v>
      </c>
      <c r="BE6" s="11">
        <f ca="1"/>
        <v>1012.7093983430666</v>
      </c>
      <c r="BF6" s="12">
        <f ca="1"/>
        <v>264.89060165693326</v>
      </c>
      <c r="BG6" s="12" t="e">
        <f ca="1"/>
        <v>#N/A</v>
      </c>
      <c r="BH6" s="12" t="e">
        <f ca="1"/>
        <v>#N/A</v>
      </c>
      <c r="BI6" s="12" t="e">
        <f ca="1"/>
        <v>#N/A</v>
      </c>
      <c r="BJ6" s="12" t="e">
        <f ca="1"/>
        <v>#N/A</v>
      </c>
      <c r="BK6" s="12" t="e">
        <f ca="1"/>
        <v>#N/A</v>
      </c>
      <c r="BL6" s="12" t="e">
        <f ca="1"/>
        <v>#N/A</v>
      </c>
      <c r="BM6" s="12" t="e">
        <f ca="1"/>
        <v>#N/A</v>
      </c>
      <c r="BN6" s="12" t="e">
        <f ca="1"/>
        <v>#N/A</v>
      </c>
      <c r="BO6" s="12" t="e">
        <f ca="1"/>
        <v>#N/A</v>
      </c>
      <c r="BP6" s="12" t="e">
        <f ca="1"/>
        <v>#N/A</v>
      </c>
      <c r="BQ6" s="12" t="e">
        <f ca="1"/>
        <v>#N/A</v>
      </c>
      <c r="BR6" s="12" t="e">
        <f ca="1"/>
        <v>#N/A</v>
      </c>
      <c r="BS6" s="12" t="e">
        <f ca="1"/>
        <v>#N/A</v>
      </c>
      <c r="BT6" s="12" t="e">
        <f ca="1"/>
        <v>#N/A</v>
      </c>
      <c r="BU6" s="13" t="e">
        <f ca="1"/>
        <v>#N/A</v>
      </c>
    </row>
    <row r="7" spans="1:74" x14ac:dyDescent="0.25">
      <c r="A7" s="3" t="s">
        <v>36</v>
      </c>
      <c r="B7" s="3">
        <f ca="1">BF4</f>
        <v>6.1515457018881881</v>
      </c>
      <c r="I7" s="29">
        <v>1</v>
      </c>
      <c r="P7" s="1" t="s">
        <v>87</v>
      </c>
      <c r="AZ7" s="1" t="s">
        <v>88</v>
      </c>
      <c r="BA7" s="1" t="str">
        <f ca="1">BA3&amp;":"&amp;J3&amp;M3</f>
        <v>'sampledata2'!G7:G16</v>
      </c>
    </row>
    <row r="8" spans="1:74" x14ac:dyDescent="0.25">
      <c r="A8" s="4" t="s">
        <v>37</v>
      </c>
      <c r="B8" s="4">
        <f ca="1">I9</f>
        <v>10</v>
      </c>
      <c r="I8" s="1" t="s">
        <v>89</v>
      </c>
      <c r="L8" s="1" t="s">
        <v>90</v>
      </c>
      <c r="AZ8" s="1" t="s">
        <v>91</v>
      </c>
      <c r="BA8" s="1" t="str">
        <f ca="1">BA4&amp;":"&amp;K4&amp;M4</f>
        <v>'sampledata2'!C7:D16</v>
      </c>
      <c r="BE8" s="1" t="s">
        <v>92</v>
      </c>
    </row>
    <row r="9" spans="1:74" x14ac:dyDescent="0.25">
      <c r="I9" s="1">
        <f ca="1">ROWS(INDIRECT(BA7))</f>
        <v>10</v>
      </c>
      <c r="L9" s="1">
        <f ca="1">ROWS(INDIRECT(BA8))</f>
        <v>10</v>
      </c>
      <c r="BE9" s="1">
        <f ca="1">COLUMNS(INDIRECT(BA8))</f>
        <v>2</v>
      </c>
    </row>
    <row r="10" spans="1:74" x14ac:dyDescent="0.25">
      <c r="A10" s="1" t="s">
        <v>38</v>
      </c>
      <c r="C10" s="1" t="s">
        <v>93</v>
      </c>
      <c r="I10">
        <f ca="1">IF(I9=L9,1,0)</f>
        <v>1</v>
      </c>
      <c r="J10" s="1" t="str">
        <f ca="1">IF(I10=0,"DANGER! # of rows in x doesn't match # of rows in y","good: #rows in x and y match")</f>
        <v>good: #rows in x and y match</v>
      </c>
      <c r="BE10" s="1" t="s">
        <v>94</v>
      </c>
    </row>
    <row r="11" spans="1:74" x14ac:dyDescent="0.25">
      <c r="A11" s="2"/>
      <c r="B11" s="2" t="s">
        <v>39</v>
      </c>
      <c r="C11" s="2" t="s">
        <v>40</v>
      </c>
      <c r="D11" s="2" t="s">
        <v>41</v>
      </c>
      <c r="E11" s="2" t="s">
        <v>42</v>
      </c>
      <c r="F11" s="2" t="s">
        <v>43</v>
      </c>
      <c r="I11" s="1" t="s">
        <v>95</v>
      </c>
      <c r="BC11" s="14" t="s">
        <v>96</v>
      </c>
      <c r="BE11" s="1">
        <v>0</v>
      </c>
      <c r="BF11" s="1">
        <v>1</v>
      </c>
      <c r="BG11" s="1">
        <v>2</v>
      </c>
      <c r="BH11" s="1">
        <v>3</v>
      </c>
      <c r="BI11" s="1">
        <v>4</v>
      </c>
      <c r="BJ11" s="1">
        <v>5</v>
      </c>
      <c r="BK11" s="1">
        <v>6</v>
      </c>
      <c r="BL11" s="1">
        <v>7</v>
      </c>
      <c r="BM11" s="1">
        <v>8</v>
      </c>
      <c r="BN11" s="1">
        <v>9</v>
      </c>
      <c r="BO11" s="1">
        <v>10</v>
      </c>
      <c r="BP11" s="1">
        <v>11</v>
      </c>
      <c r="BQ11" s="1">
        <v>12</v>
      </c>
      <c r="BR11" s="1">
        <v>13</v>
      </c>
      <c r="BS11" s="1">
        <v>14</v>
      </c>
      <c r="BT11" s="1">
        <v>15</v>
      </c>
      <c r="BU11" s="1">
        <v>16</v>
      </c>
      <c r="BV11" s="1">
        <v>17</v>
      </c>
    </row>
    <row r="12" spans="1:74" x14ac:dyDescent="0.25">
      <c r="A12" s="3" t="s">
        <v>44</v>
      </c>
      <c r="B12" s="3">
        <f ca="1">B14-B13</f>
        <v>2</v>
      </c>
      <c r="C12" s="3">
        <f ca="1">BE6</f>
        <v>1012.7093983430666</v>
      </c>
      <c r="D12" s="3">
        <f ca="1">C12/B12</f>
        <v>506.3546991715333</v>
      </c>
      <c r="E12" s="3">
        <f ca="1">BE5</f>
        <v>13.380931116579536</v>
      </c>
      <c r="F12" s="3">
        <f ca="1">FDIST(E12,B12,B13)</f>
        <v>4.0583618163620265E-3</v>
      </c>
      <c r="I12" s="1">
        <f ca="1">COUNT(A:A)-COUNT(A1:A42)</f>
        <v>10</v>
      </c>
      <c r="BC12" s="1" t="str">
        <f ca="1">OFFSET(INDIRECT(BA6),0,0,1,1)</f>
        <v>y</v>
      </c>
      <c r="BD12" s="1" t="s">
        <v>97</v>
      </c>
      <c r="BE12" s="1" t="s">
        <v>54</v>
      </c>
      <c r="BF12" s="1" t="str">
        <f t="shared" ref="BF12:BV12" ca="1" si="0">IF(BF11&lt;$BK$1,OFFSET(INDIRECT($BA$5),0,BF11-1,1,1),"NA")</f>
        <v>x1</v>
      </c>
      <c r="BG12" s="1" t="str">
        <f t="shared" ca="1" si="0"/>
        <v>x2</v>
      </c>
      <c r="BH12" s="1" t="str">
        <f t="shared" ca="1" si="0"/>
        <v>NA</v>
      </c>
      <c r="BI12" s="1" t="str">
        <f t="shared" ca="1" si="0"/>
        <v>NA</v>
      </c>
      <c r="BJ12" s="1" t="str">
        <f t="shared" ca="1" si="0"/>
        <v>NA</v>
      </c>
      <c r="BK12" s="1" t="str">
        <f t="shared" ca="1" si="0"/>
        <v>NA</v>
      </c>
      <c r="BL12" s="1" t="str">
        <f t="shared" ca="1" si="0"/>
        <v>NA</v>
      </c>
      <c r="BM12" s="1" t="str">
        <f t="shared" ca="1" si="0"/>
        <v>NA</v>
      </c>
      <c r="BN12" s="1" t="str">
        <f t="shared" ca="1" si="0"/>
        <v>NA</v>
      </c>
      <c r="BO12" s="1" t="str">
        <f t="shared" ca="1" si="0"/>
        <v>NA</v>
      </c>
      <c r="BP12" s="1" t="str">
        <f t="shared" ca="1" si="0"/>
        <v>NA</v>
      </c>
      <c r="BQ12" s="1" t="str">
        <f t="shared" ca="1" si="0"/>
        <v>NA</v>
      </c>
      <c r="BR12" s="1" t="str">
        <f t="shared" ca="1" si="0"/>
        <v>NA</v>
      </c>
      <c r="BS12" s="1" t="str">
        <f t="shared" ca="1" si="0"/>
        <v>NA</v>
      </c>
      <c r="BT12" s="1" t="str">
        <f t="shared" ca="1" si="0"/>
        <v>NA</v>
      </c>
      <c r="BU12" s="1" t="str">
        <f t="shared" ca="1" si="0"/>
        <v>NA</v>
      </c>
      <c r="BV12" s="1" t="str">
        <f t="shared" ca="1" si="0"/>
        <v>NA</v>
      </c>
    </row>
    <row r="13" spans="1:74" x14ac:dyDescent="0.25">
      <c r="A13" s="3" t="s">
        <v>45</v>
      </c>
      <c r="B13" s="3">
        <f ca="1">BF5</f>
        <v>7</v>
      </c>
      <c r="C13" s="3">
        <f ca="1">BF6</f>
        <v>264.89060165693326</v>
      </c>
      <c r="D13" s="3">
        <f ca="1">C13/B13</f>
        <v>37.84151452241904</v>
      </c>
      <c r="E13" s="3"/>
      <c r="F13" s="3"/>
      <c r="I13">
        <f ca="1">IF(I12=I9,1,IF(I12&gt;I9,0.5,0))</f>
        <v>1</v>
      </c>
      <c r="BD13" s="1" t="s">
        <v>98</v>
      </c>
      <c r="BE13" s="1">
        <f t="shared" ref="BE13:BV13" ca="1" si="1">IF(BE$11&lt;$BK$1,OFFSET($BE2,0,$BK$1-BE$11-1,1,1),"NA")</f>
        <v>10.355357870433242</v>
      </c>
      <c r="BF13" s="1">
        <f t="shared" ca="1" si="1"/>
        <v>3.8901942143148189</v>
      </c>
      <c r="BG13" s="1">
        <f t="shared" ca="1" si="1"/>
        <v>-3.8224908325410847</v>
      </c>
      <c r="BH13" s="1" t="str">
        <f t="shared" ca="1" si="1"/>
        <v>NA</v>
      </c>
      <c r="BI13" s="1" t="str">
        <f t="shared" ca="1" si="1"/>
        <v>NA</v>
      </c>
      <c r="BJ13" s="1" t="str">
        <f t="shared" ca="1" si="1"/>
        <v>NA</v>
      </c>
      <c r="BK13" s="1" t="str">
        <f t="shared" ca="1" si="1"/>
        <v>NA</v>
      </c>
      <c r="BL13" s="1" t="str">
        <f t="shared" ca="1" si="1"/>
        <v>NA</v>
      </c>
      <c r="BM13" s="1" t="str">
        <f t="shared" ca="1" si="1"/>
        <v>NA</v>
      </c>
      <c r="BN13" s="1" t="str">
        <f t="shared" ca="1" si="1"/>
        <v>NA</v>
      </c>
      <c r="BO13" s="1" t="str">
        <f t="shared" ca="1" si="1"/>
        <v>NA</v>
      </c>
      <c r="BP13" s="1" t="str">
        <f t="shared" ca="1" si="1"/>
        <v>NA</v>
      </c>
      <c r="BQ13" s="1" t="str">
        <f t="shared" ca="1" si="1"/>
        <v>NA</v>
      </c>
      <c r="BR13" s="1" t="str">
        <f t="shared" ca="1" si="1"/>
        <v>NA</v>
      </c>
      <c r="BS13" s="1" t="str">
        <f t="shared" ca="1" si="1"/>
        <v>NA</v>
      </c>
      <c r="BT13" s="1" t="str">
        <f t="shared" ca="1" si="1"/>
        <v>NA</v>
      </c>
      <c r="BU13" s="1" t="str">
        <f t="shared" ca="1" si="1"/>
        <v>NA</v>
      </c>
      <c r="BV13" s="1" t="str">
        <f t="shared" ca="1" si="1"/>
        <v>NA</v>
      </c>
    </row>
    <row r="14" spans="1:74" x14ac:dyDescent="0.25">
      <c r="A14" s="4" t="s">
        <v>46</v>
      </c>
      <c r="B14" s="4">
        <f ca="1">B8-1</f>
        <v>9</v>
      </c>
      <c r="C14" s="4">
        <f ca="1">C12+C13</f>
        <v>1277.5999999999999</v>
      </c>
      <c r="D14" s="4"/>
      <c r="E14" s="4"/>
      <c r="F14" s="4"/>
      <c r="I14" s="1" t="str">
        <f ca="1">IF(I13=0,"DANGER! # rows in residuals is less than # of data points",IF(I13=0.5,"Warning: # rows in residuals is greater than # of data points","good: #rows in residuals is equal to # of data points"))</f>
        <v>good: #rows in residuals is equal to # of data points</v>
      </c>
      <c r="M14" s="1" t="s">
        <v>99</v>
      </c>
      <c r="BD14" s="1" t="s">
        <v>100</v>
      </c>
      <c r="BE14" s="1">
        <f t="shared" ref="BE14:BV14" ca="1" si="2">IF(BE$11&lt;$BK$1,OFFSET($BE3,0,$BK$1-BE$11-1,1,1),"NA")</f>
        <v>5.9547792193947648</v>
      </c>
      <c r="BF14" s="1">
        <f t="shared" ca="1" si="2"/>
        <v>0.9998081151369218</v>
      </c>
      <c r="BG14" s="1">
        <f t="shared" ca="1" si="2"/>
        <v>0.99336183183983562</v>
      </c>
      <c r="BH14" s="1" t="str">
        <f t="shared" ca="1" si="2"/>
        <v>NA</v>
      </c>
      <c r="BI14" s="1" t="str">
        <f t="shared" ca="1" si="2"/>
        <v>NA</v>
      </c>
      <c r="BJ14" s="1" t="str">
        <f t="shared" ca="1" si="2"/>
        <v>NA</v>
      </c>
      <c r="BK14" s="1" t="str">
        <f t="shared" ca="1" si="2"/>
        <v>NA</v>
      </c>
      <c r="BL14" s="1" t="str">
        <f t="shared" ca="1" si="2"/>
        <v>NA</v>
      </c>
      <c r="BM14" s="1" t="str">
        <f t="shared" ca="1" si="2"/>
        <v>NA</v>
      </c>
      <c r="BN14" s="1" t="str">
        <f t="shared" ca="1" si="2"/>
        <v>NA</v>
      </c>
      <c r="BO14" s="1" t="str">
        <f t="shared" ca="1" si="2"/>
        <v>NA</v>
      </c>
      <c r="BP14" s="1" t="str">
        <f t="shared" ca="1" si="2"/>
        <v>NA</v>
      </c>
      <c r="BQ14" s="1" t="str">
        <f t="shared" ca="1" si="2"/>
        <v>NA</v>
      </c>
      <c r="BR14" s="1" t="str">
        <f t="shared" ca="1" si="2"/>
        <v>NA</v>
      </c>
      <c r="BS14" s="1" t="str">
        <f t="shared" ca="1" si="2"/>
        <v>NA</v>
      </c>
      <c r="BT14" s="1" t="str">
        <f t="shared" ca="1" si="2"/>
        <v>NA</v>
      </c>
      <c r="BU14" s="1" t="str">
        <f t="shared" ca="1" si="2"/>
        <v>NA</v>
      </c>
      <c r="BV14" s="1" t="str">
        <f t="shared" ca="1" si="2"/>
        <v>NA</v>
      </c>
    </row>
    <row r="15" spans="1:74" x14ac:dyDescent="0.25">
      <c r="M15" s="3">
        <v>0</v>
      </c>
      <c r="N15" s="3">
        <v>1</v>
      </c>
      <c r="O15" s="3">
        <v>2</v>
      </c>
      <c r="P15" s="3">
        <v>3</v>
      </c>
      <c r="Q15" s="3">
        <v>4</v>
      </c>
      <c r="R15" s="3">
        <v>5</v>
      </c>
      <c r="S15" s="3">
        <v>6</v>
      </c>
      <c r="T15" s="3">
        <v>7</v>
      </c>
      <c r="U15" s="3">
        <v>8</v>
      </c>
      <c r="V15" s="3">
        <v>9</v>
      </c>
      <c r="W15" s="3">
        <v>10</v>
      </c>
      <c r="X15" s="3">
        <v>11</v>
      </c>
      <c r="Y15" s="3">
        <v>12</v>
      </c>
      <c r="Z15" s="3">
        <v>13</v>
      </c>
      <c r="AA15" s="3">
        <v>14</v>
      </c>
      <c r="AB15" s="3">
        <v>15</v>
      </c>
      <c r="AC15" s="3">
        <v>16</v>
      </c>
      <c r="AD15" s="3">
        <v>17</v>
      </c>
    </row>
    <row r="16" spans="1:74" x14ac:dyDescent="0.25">
      <c r="A16" s="2"/>
      <c r="B16" s="2" t="s">
        <v>47</v>
      </c>
      <c r="C16" s="2" t="s">
        <v>36</v>
      </c>
      <c r="D16" s="2" t="s">
        <v>48</v>
      </c>
      <c r="E16" s="2" t="s">
        <v>49</v>
      </c>
      <c r="F16" s="2" t="s">
        <v>50</v>
      </c>
      <c r="G16" s="2" t="s">
        <v>51</v>
      </c>
      <c r="H16" s="2" t="s">
        <v>52</v>
      </c>
      <c r="I16" s="2" t="s">
        <v>53</v>
      </c>
      <c r="J16" s="15" t="s">
        <v>101</v>
      </c>
      <c r="K16" s="31" t="s">
        <v>102</v>
      </c>
      <c r="M16" s="1" t="str">
        <f ca="1">L17</f>
        <v>y</v>
      </c>
      <c r="N16" s="1" t="str">
        <f ca="1">BF12</f>
        <v>x1</v>
      </c>
      <c r="O16" s="1" t="str">
        <f t="shared" ref="O16:U16" ca="1" si="3">BG12</f>
        <v>x2</v>
      </c>
      <c r="P16" s="1" t="str">
        <f t="shared" ca="1" si="3"/>
        <v>NA</v>
      </c>
      <c r="Q16" s="1" t="str">
        <f t="shared" ca="1" si="3"/>
        <v>NA</v>
      </c>
      <c r="R16" s="1" t="str">
        <f t="shared" ca="1" si="3"/>
        <v>NA</v>
      </c>
      <c r="S16" s="1" t="str">
        <f t="shared" ca="1" si="3"/>
        <v>NA</v>
      </c>
      <c r="T16" s="1" t="str">
        <f t="shared" ca="1" si="3"/>
        <v>NA</v>
      </c>
      <c r="U16" s="1" t="str">
        <f t="shared" ca="1" si="3"/>
        <v>NA</v>
      </c>
      <c r="V16" s="1" t="str">
        <f t="shared" ref="V16:AD16" ca="1" si="4">BN12</f>
        <v>NA</v>
      </c>
      <c r="W16" s="1" t="str">
        <f t="shared" ca="1" si="4"/>
        <v>NA</v>
      </c>
      <c r="X16" s="1" t="str">
        <f t="shared" ca="1" si="4"/>
        <v>NA</v>
      </c>
      <c r="Y16" s="1" t="str">
        <f t="shared" ca="1" si="4"/>
        <v>NA</v>
      </c>
      <c r="Z16" s="1" t="str">
        <f t="shared" ca="1" si="4"/>
        <v>NA</v>
      </c>
      <c r="AA16" s="1" t="str">
        <f t="shared" ca="1" si="4"/>
        <v>NA</v>
      </c>
      <c r="AB16" s="1" t="str">
        <f t="shared" ca="1" si="4"/>
        <v>NA</v>
      </c>
      <c r="AC16" s="1" t="str">
        <f t="shared" ca="1" si="4"/>
        <v>NA</v>
      </c>
      <c r="AD16" s="1" t="str">
        <f t="shared" ca="1" si="4"/>
        <v>NA</v>
      </c>
    </row>
    <row r="17" spans="1:28" x14ac:dyDescent="0.25">
      <c r="A17" s="3" t="str">
        <f t="shared" ref="A17:A34" ca="1" si="5">IF($K17&lt;$BK$1,OFFSET($BE$12,0,$K17,1,1),"NA")</f>
        <v>Intercept</v>
      </c>
      <c r="B17" s="3">
        <f t="shared" ref="B17:B34" ca="1" si="6">IF($K17&lt;$BK$1,OFFSET($BE$12,1,$K17,1,1),"NA")</f>
        <v>10.355357870433242</v>
      </c>
      <c r="C17" s="3">
        <f t="shared" ref="C17:C34" ca="1" si="7">IF($K17&lt;$BK$1,OFFSET($BE$12,2,$K17,1,1),"NA")</f>
        <v>5.9547792193947648</v>
      </c>
      <c r="D17" s="3">
        <f ca="1">B17/C17</f>
        <v>1.7389994639441468</v>
      </c>
      <c r="E17" s="3">
        <f ca="1">TDIST(ABS(D17),$B$8-$BK$1,2)</f>
        <v>0.12559191655097224</v>
      </c>
      <c r="F17" s="16">
        <v>-3.7254574846283717</v>
      </c>
      <c r="G17" s="16">
        <v>24.436173225494855</v>
      </c>
      <c r="H17" s="16">
        <v>-0.92643943666665507</v>
      </c>
      <c r="I17" s="16">
        <v>21.637155177533138</v>
      </c>
      <c r="J17" s="1">
        <f ca="1">IF(ISNUMBER(B17),B17,"")</f>
        <v>10.355357870433242</v>
      </c>
      <c r="K17" s="3">
        <v>0</v>
      </c>
      <c r="L17" s="1" t="str">
        <f ca="1">BC12</f>
        <v>y</v>
      </c>
      <c r="M17" s="1">
        <v>1</v>
      </c>
    </row>
    <row r="18" spans="1:28" x14ac:dyDescent="0.25">
      <c r="A18" s="3" t="str">
        <f t="shared" ca="1" si="5"/>
        <v>x1</v>
      </c>
      <c r="B18" s="3">
        <f t="shared" ca="1" si="6"/>
        <v>3.8901942143148189</v>
      </c>
      <c r="C18" s="3">
        <f t="shared" ca="1" si="7"/>
        <v>0.9998081151369218</v>
      </c>
      <c r="D18" s="3">
        <f ca="1">B18/C18</f>
        <v>3.890940826962646</v>
      </c>
      <c r="E18" s="3">
        <f t="shared" ref="E18:E34" ca="1" si="8">TDIST(ABS(D18),$B$8-$BK$1,2)</f>
        <v>5.9681475997974513E-3</v>
      </c>
      <c r="F18" s="16">
        <v>1.5260236983227822</v>
      </c>
      <c r="G18" s="16">
        <v>6.2543647303068557</v>
      </c>
      <c r="H18" s="16">
        <v>1.9959791501810402</v>
      </c>
      <c r="I18" s="16">
        <v>5.7844092784485976</v>
      </c>
      <c r="J18" s="1" t="str">
        <f t="shared" ref="J18:J34" ca="1" si="9">IF(ISNUMBER(B18)," + "&amp;B18&amp;"*"&amp;A18,"")</f>
        <v xml:space="preserve"> + 3.89019421431482*x1</v>
      </c>
      <c r="K18" s="3">
        <v>1</v>
      </c>
      <c r="L18" s="1" t="str">
        <f ca="1">A18</f>
        <v>x1</v>
      </c>
      <c r="M18" s="1">
        <f t="shared" ref="M18:M34" ca="1" si="10">IF($K18&gt;$BE$9,"NA",CORREL(INDIRECT($BA$7),OFFSET(INDIRECT($BA$4),0,$K18-1,$L$9,1)))</f>
        <v>0.59504847499285074</v>
      </c>
      <c r="N18" s="1">
        <v>1</v>
      </c>
    </row>
    <row r="19" spans="1:28" x14ac:dyDescent="0.25">
      <c r="A19" s="3" t="str">
        <f t="shared" ca="1" si="5"/>
        <v>x2</v>
      </c>
      <c r="B19" s="3">
        <f t="shared" ca="1" si="6"/>
        <v>-3.8224908325410847</v>
      </c>
      <c r="C19" s="3">
        <f t="shared" ca="1" si="7"/>
        <v>0.99336183183983562</v>
      </c>
      <c r="D19" s="3">
        <f ca="1">B19/C19</f>
        <v>-3.8480347341928098</v>
      </c>
      <c r="E19" s="3">
        <f t="shared" ca="1" si="8"/>
        <v>6.3084855573993038E-3</v>
      </c>
      <c r="F19" s="16">
        <v>-6.1714183107161933</v>
      </c>
      <c r="G19" s="16">
        <v>-1.4735633543659756</v>
      </c>
      <c r="H19" s="16">
        <v>-5.7044929062578547</v>
      </c>
      <c r="I19" s="16">
        <v>-1.9404887588243145</v>
      </c>
      <c r="J19" s="1" t="str">
        <f t="shared" ca="1" si="9"/>
        <v xml:space="preserve"> + -3.82249083254108*x2</v>
      </c>
      <c r="K19" s="3">
        <v>2</v>
      </c>
      <c r="L19" s="1" t="str">
        <f t="shared" ref="L19:L34" ca="1" si="11">A19</f>
        <v>x2</v>
      </c>
      <c r="M19" s="1">
        <f t="shared" ca="1" si="10"/>
        <v>-0.58672621335053776</v>
      </c>
      <c r="N19" s="1">
        <f t="shared" ref="N19:N34" ca="1" si="12">IF($K19&gt;$BE$9,"NA",CORREL(OFFSET(INDIRECT($BA$4),0,N$15-1,$L$9,1),OFFSET(INDIRECT($BA$4),0,$K19-1,$L$9,1)))</f>
        <v>0.11901930744265926</v>
      </c>
      <c r="O19" s="1">
        <v>1</v>
      </c>
    </row>
    <row r="20" spans="1:28" x14ac:dyDescent="0.25">
      <c r="A20" s="3" t="str">
        <f t="shared" ca="1" si="5"/>
        <v>NA</v>
      </c>
      <c r="B20" s="3" t="str">
        <f t="shared" ca="1" si="6"/>
        <v>NA</v>
      </c>
      <c r="C20" s="3" t="str">
        <f t="shared" ca="1" si="7"/>
        <v>NA</v>
      </c>
      <c r="D20" s="3" t="e">
        <f t="shared" ref="D20:D34" ca="1" si="13">B20/C20</f>
        <v>#VALUE!</v>
      </c>
      <c r="E20" s="3" t="e">
        <f t="shared" ca="1" si="8"/>
        <v>#VALUE!</v>
      </c>
      <c r="F20" s="16">
        <v>0</v>
      </c>
      <c r="G20" s="16">
        <v>0</v>
      </c>
      <c r="H20" s="16">
        <v>0</v>
      </c>
      <c r="I20" s="16">
        <v>0</v>
      </c>
      <c r="J20" s="1" t="str">
        <f t="shared" ca="1" si="9"/>
        <v/>
      </c>
      <c r="K20" s="3">
        <v>3</v>
      </c>
      <c r="L20" s="1" t="str">
        <f t="shared" ca="1" si="11"/>
        <v>NA</v>
      </c>
      <c r="M20" s="1" t="str">
        <f t="shared" ca="1" si="10"/>
        <v>NA</v>
      </c>
      <c r="N20" s="1" t="str">
        <f t="shared" ca="1" si="12"/>
        <v>NA</v>
      </c>
      <c r="O20" s="1" t="str">
        <f t="shared" ref="O20:O34" ca="1" si="14">IF($K20&gt;$BE$9,"NA",CORREL(OFFSET(INDIRECT($BA$4),0,O$15-1,$L$9,1),OFFSET(INDIRECT($BA$4),0,$K20-1,$L$9,1)))</f>
        <v>NA</v>
      </c>
      <c r="P20" s="1">
        <v>1</v>
      </c>
    </row>
    <row r="21" spans="1:28" x14ac:dyDescent="0.25">
      <c r="A21" s="3" t="str">
        <f t="shared" ca="1" si="5"/>
        <v>NA</v>
      </c>
      <c r="B21" s="3" t="str">
        <f t="shared" ca="1" si="6"/>
        <v>NA</v>
      </c>
      <c r="C21" s="3" t="str">
        <f t="shared" ca="1" si="7"/>
        <v>NA</v>
      </c>
      <c r="D21" s="3" t="e">
        <f t="shared" ca="1" si="13"/>
        <v>#VALUE!</v>
      </c>
      <c r="E21" s="3" t="e">
        <f t="shared" ca="1" si="8"/>
        <v>#VALUE!</v>
      </c>
      <c r="F21" s="16">
        <v>0</v>
      </c>
      <c r="G21" s="16">
        <v>0</v>
      </c>
      <c r="H21" s="16">
        <v>0</v>
      </c>
      <c r="I21" s="16">
        <v>0</v>
      </c>
      <c r="J21" s="1" t="str">
        <f t="shared" ca="1" si="9"/>
        <v/>
      </c>
      <c r="K21" s="3">
        <v>4</v>
      </c>
      <c r="L21" s="1" t="str">
        <f t="shared" ca="1" si="11"/>
        <v>NA</v>
      </c>
      <c r="M21" s="1" t="str">
        <f t="shared" ca="1" si="10"/>
        <v>NA</v>
      </c>
      <c r="N21" s="1" t="str">
        <f t="shared" ca="1" si="12"/>
        <v>NA</v>
      </c>
      <c r="O21" s="1" t="str">
        <f t="shared" ca="1" si="14"/>
        <v>NA</v>
      </c>
      <c r="P21" s="1" t="str">
        <f t="shared" ref="P21:P34" ca="1" si="15">IF($K21&gt;$BE$9,"NA",CORREL(OFFSET(INDIRECT($BA$4),0,P$15-1,$L$9,1),OFFSET(INDIRECT($BA$4),0,$K21-1,$L$9,1)))</f>
        <v>NA</v>
      </c>
      <c r="Q21" s="1">
        <v>1</v>
      </c>
    </row>
    <row r="22" spans="1:28" x14ac:dyDescent="0.25">
      <c r="A22" s="3" t="str">
        <f t="shared" ca="1" si="5"/>
        <v>NA</v>
      </c>
      <c r="B22" s="3" t="str">
        <f t="shared" ca="1" si="6"/>
        <v>NA</v>
      </c>
      <c r="C22" s="3" t="str">
        <f t="shared" ca="1" si="7"/>
        <v>NA</v>
      </c>
      <c r="D22" s="3" t="e">
        <f t="shared" ca="1" si="13"/>
        <v>#VALUE!</v>
      </c>
      <c r="E22" s="3" t="e">
        <f t="shared" ca="1" si="8"/>
        <v>#VALUE!</v>
      </c>
      <c r="F22" s="16">
        <v>0</v>
      </c>
      <c r="G22" s="16">
        <v>0</v>
      </c>
      <c r="H22" s="16">
        <v>0</v>
      </c>
      <c r="I22" s="16">
        <v>0</v>
      </c>
      <c r="J22" s="1" t="str">
        <f t="shared" ca="1" si="9"/>
        <v/>
      </c>
      <c r="K22" s="3">
        <v>5</v>
      </c>
      <c r="L22" s="1" t="str">
        <f t="shared" ca="1" si="11"/>
        <v>NA</v>
      </c>
      <c r="M22" s="1" t="str">
        <f t="shared" ca="1" si="10"/>
        <v>NA</v>
      </c>
      <c r="N22" s="1" t="str">
        <f t="shared" ca="1" si="12"/>
        <v>NA</v>
      </c>
      <c r="O22" s="1" t="str">
        <f t="shared" ca="1" si="14"/>
        <v>NA</v>
      </c>
      <c r="P22" s="1" t="str">
        <f t="shared" ca="1" si="15"/>
        <v>NA</v>
      </c>
      <c r="Q22" s="1" t="str">
        <f t="shared" ref="Q22:Q34" ca="1" si="16">IF($K22&gt;$BE$9,"NA",CORREL(OFFSET(INDIRECT($BA$4),0,Q$15-1,$L$9,1),OFFSET(INDIRECT($BA$4),0,$K22-1,$L$9,1)))</f>
        <v>NA</v>
      </c>
      <c r="R22" s="1">
        <v>1</v>
      </c>
    </row>
    <row r="23" spans="1:28" x14ac:dyDescent="0.25">
      <c r="A23" s="3" t="str">
        <f t="shared" ca="1" si="5"/>
        <v>NA</v>
      </c>
      <c r="B23" s="3" t="str">
        <f t="shared" ca="1" si="6"/>
        <v>NA</v>
      </c>
      <c r="C23" s="3" t="str">
        <f t="shared" ca="1" si="7"/>
        <v>NA</v>
      </c>
      <c r="D23" s="3" t="e">
        <f t="shared" ca="1" si="13"/>
        <v>#VALUE!</v>
      </c>
      <c r="E23" s="3" t="e">
        <f t="shared" ca="1" si="8"/>
        <v>#VALUE!</v>
      </c>
      <c r="F23" s="16">
        <v>0</v>
      </c>
      <c r="G23" s="16">
        <v>0</v>
      </c>
      <c r="H23" s="16">
        <v>0</v>
      </c>
      <c r="I23" s="16">
        <v>0</v>
      </c>
      <c r="J23" s="1" t="str">
        <f t="shared" ca="1" si="9"/>
        <v/>
      </c>
      <c r="K23" s="3">
        <v>6</v>
      </c>
      <c r="L23" s="1" t="str">
        <f t="shared" ca="1" si="11"/>
        <v>NA</v>
      </c>
      <c r="M23" s="1" t="str">
        <f t="shared" ca="1" si="10"/>
        <v>NA</v>
      </c>
      <c r="N23" s="1" t="str">
        <f t="shared" ca="1" si="12"/>
        <v>NA</v>
      </c>
      <c r="O23" s="1" t="str">
        <f t="shared" ca="1" si="14"/>
        <v>NA</v>
      </c>
      <c r="P23" s="1" t="str">
        <f t="shared" ca="1" si="15"/>
        <v>NA</v>
      </c>
      <c r="Q23" s="1" t="str">
        <f t="shared" ca="1" si="16"/>
        <v>NA</v>
      </c>
      <c r="R23" s="1" t="str">
        <f t="shared" ref="R23:R34" ca="1" si="17">IF($K23&gt;$BE$9,"NA",CORREL(OFFSET(INDIRECT($BA$4),0,R$15-1,$L$9,1),OFFSET(INDIRECT($BA$4),0,$K23-1,$L$9,1)))</f>
        <v>NA</v>
      </c>
      <c r="S23" s="1">
        <v>1</v>
      </c>
    </row>
    <row r="24" spans="1:28" x14ac:dyDescent="0.25">
      <c r="A24" s="3" t="str">
        <f t="shared" ca="1" si="5"/>
        <v>NA</v>
      </c>
      <c r="B24" s="3" t="str">
        <f t="shared" ca="1" si="6"/>
        <v>NA</v>
      </c>
      <c r="C24" s="3" t="str">
        <f t="shared" ca="1" si="7"/>
        <v>NA</v>
      </c>
      <c r="D24" s="3" t="e">
        <f t="shared" ca="1" si="13"/>
        <v>#VALUE!</v>
      </c>
      <c r="E24" s="3" t="e">
        <f t="shared" ca="1" si="8"/>
        <v>#VALUE!</v>
      </c>
      <c r="F24" s="16">
        <v>0</v>
      </c>
      <c r="G24" s="16">
        <v>0</v>
      </c>
      <c r="H24" s="16">
        <v>0</v>
      </c>
      <c r="I24" s="16">
        <v>0</v>
      </c>
      <c r="J24" s="1" t="str">
        <f t="shared" ca="1" si="9"/>
        <v/>
      </c>
      <c r="K24" s="3">
        <v>7</v>
      </c>
      <c r="L24" s="1" t="str">
        <f t="shared" ca="1" si="11"/>
        <v>NA</v>
      </c>
      <c r="M24" s="1" t="str">
        <f t="shared" ca="1" si="10"/>
        <v>NA</v>
      </c>
      <c r="N24" s="1" t="str">
        <f t="shared" ca="1" si="12"/>
        <v>NA</v>
      </c>
      <c r="O24" s="1" t="str">
        <f t="shared" ca="1" si="14"/>
        <v>NA</v>
      </c>
      <c r="P24" s="1" t="str">
        <f t="shared" ca="1" si="15"/>
        <v>NA</v>
      </c>
      <c r="Q24" s="1" t="str">
        <f t="shared" ca="1" si="16"/>
        <v>NA</v>
      </c>
      <c r="R24" s="1" t="str">
        <f t="shared" ca="1" si="17"/>
        <v>NA</v>
      </c>
      <c r="S24" s="1" t="str">
        <f t="shared" ref="S24:S34" ca="1" si="18">IF($K24&gt;$BE$9,"NA",CORREL(OFFSET(INDIRECT($BA$4),0,S$15-1,$L$9,1),OFFSET(INDIRECT($BA$4),0,$K24-1,$L$9,1)))</f>
        <v>NA</v>
      </c>
      <c r="T24" s="1">
        <v>1</v>
      </c>
    </row>
    <row r="25" spans="1:28" x14ac:dyDescent="0.25">
      <c r="A25" s="3" t="str">
        <f t="shared" ca="1" si="5"/>
        <v>NA</v>
      </c>
      <c r="B25" s="3" t="str">
        <f t="shared" ca="1" si="6"/>
        <v>NA</v>
      </c>
      <c r="C25" s="3" t="str">
        <f t="shared" ca="1" si="7"/>
        <v>NA</v>
      </c>
      <c r="D25" s="3" t="e">
        <f t="shared" ca="1" si="13"/>
        <v>#VALUE!</v>
      </c>
      <c r="E25" s="3" t="e">
        <f t="shared" ca="1" si="8"/>
        <v>#VALUE!</v>
      </c>
      <c r="F25" s="16">
        <v>0</v>
      </c>
      <c r="G25" s="16">
        <v>0</v>
      </c>
      <c r="H25" s="16">
        <v>0</v>
      </c>
      <c r="I25" s="16">
        <v>0</v>
      </c>
      <c r="J25" s="1" t="str">
        <f t="shared" ca="1" si="9"/>
        <v/>
      </c>
      <c r="K25" s="3">
        <v>8</v>
      </c>
      <c r="L25" s="1" t="str">
        <f t="shared" ca="1" si="11"/>
        <v>NA</v>
      </c>
      <c r="M25" s="1" t="str">
        <f t="shared" ca="1" si="10"/>
        <v>NA</v>
      </c>
      <c r="N25" s="1" t="str">
        <f t="shared" ca="1" si="12"/>
        <v>NA</v>
      </c>
      <c r="O25" s="1" t="str">
        <f t="shared" ca="1" si="14"/>
        <v>NA</v>
      </c>
      <c r="P25" s="1" t="str">
        <f t="shared" ca="1" si="15"/>
        <v>NA</v>
      </c>
      <c r="Q25" s="1" t="str">
        <f t="shared" ca="1" si="16"/>
        <v>NA</v>
      </c>
      <c r="R25" s="1" t="str">
        <f t="shared" ca="1" si="17"/>
        <v>NA</v>
      </c>
      <c r="S25" s="1" t="str">
        <f t="shared" ca="1" si="18"/>
        <v>NA</v>
      </c>
      <c r="T25" s="1" t="str">
        <f t="shared" ref="T25:T34" ca="1" si="19">IF($K25&gt;$BE$9,"NA",CORREL(OFFSET(INDIRECT($BA$4),0,T$15-1,$L$9,1),OFFSET(INDIRECT($BA$4),0,$K25-1,$L$9,1)))</f>
        <v>NA</v>
      </c>
      <c r="U25" s="1">
        <v>1</v>
      </c>
    </row>
    <row r="26" spans="1:28" x14ac:dyDescent="0.25">
      <c r="A26" s="3" t="str">
        <f t="shared" ca="1" si="5"/>
        <v>NA</v>
      </c>
      <c r="B26" s="3" t="str">
        <f t="shared" ca="1" si="6"/>
        <v>NA</v>
      </c>
      <c r="C26" s="3" t="str">
        <f t="shared" ca="1" si="7"/>
        <v>NA</v>
      </c>
      <c r="D26" s="3" t="e">
        <f t="shared" ca="1" si="13"/>
        <v>#VALUE!</v>
      </c>
      <c r="E26" s="3" t="e">
        <f t="shared" ca="1" si="8"/>
        <v>#VALUE!</v>
      </c>
      <c r="F26" s="16" t="s">
        <v>103</v>
      </c>
      <c r="G26" s="16">
        <v>0</v>
      </c>
      <c r="H26" s="16">
        <v>0</v>
      </c>
      <c r="I26" s="16">
        <v>0</v>
      </c>
      <c r="J26" s="1" t="str">
        <f t="shared" ca="1" si="9"/>
        <v/>
      </c>
      <c r="K26" s="3">
        <v>9</v>
      </c>
      <c r="L26" s="1" t="str">
        <f t="shared" ca="1" si="11"/>
        <v>NA</v>
      </c>
      <c r="M26" s="1" t="str">
        <f t="shared" ca="1" si="10"/>
        <v>NA</v>
      </c>
      <c r="N26" s="1" t="str">
        <f t="shared" ca="1" si="12"/>
        <v>NA</v>
      </c>
      <c r="O26" s="1" t="str">
        <f t="shared" ca="1" si="14"/>
        <v>NA</v>
      </c>
      <c r="P26" s="1" t="str">
        <f t="shared" ca="1" si="15"/>
        <v>NA</v>
      </c>
      <c r="Q26" s="1" t="str">
        <f t="shared" ca="1" si="16"/>
        <v>NA</v>
      </c>
      <c r="R26" s="1" t="str">
        <f t="shared" ca="1" si="17"/>
        <v>NA</v>
      </c>
      <c r="S26" s="1" t="str">
        <f t="shared" ca="1" si="18"/>
        <v>NA</v>
      </c>
      <c r="T26" s="1" t="str">
        <f t="shared" ca="1" si="19"/>
        <v>NA</v>
      </c>
      <c r="U26" s="1" t="str">
        <f t="shared" ref="U26:U34" ca="1" si="20">IF($K26&gt;$BE$9,"NA",CORREL(OFFSET(INDIRECT($BA$4),0,U$15-1,$L$9,1),OFFSET(INDIRECT($BA$4),0,$K26-1,$L$9,1)))</f>
        <v>NA</v>
      </c>
      <c r="V26" s="1">
        <v>1</v>
      </c>
    </row>
    <row r="27" spans="1:28" x14ac:dyDescent="0.25">
      <c r="A27" s="3" t="str">
        <f t="shared" ca="1" si="5"/>
        <v>NA</v>
      </c>
      <c r="B27" s="3" t="str">
        <f t="shared" ca="1" si="6"/>
        <v>NA</v>
      </c>
      <c r="C27" s="3" t="str">
        <f t="shared" ca="1" si="7"/>
        <v>NA</v>
      </c>
      <c r="D27" s="3" t="e">
        <f t="shared" ca="1" si="13"/>
        <v>#VALUE!</v>
      </c>
      <c r="E27" s="3" t="e">
        <f t="shared" ca="1" si="8"/>
        <v>#VALUE!</v>
      </c>
      <c r="F27" s="16" t="s">
        <v>104</v>
      </c>
      <c r="G27" s="16">
        <v>0</v>
      </c>
      <c r="H27" s="16">
        <v>0</v>
      </c>
      <c r="I27" s="16">
        <v>0</v>
      </c>
      <c r="J27" s="1" t="str">
        <f t="shared" ca="1" si="9"/>
        <v/>
      </c>
      <c r="K27" s="3">
        <v>10</v>
      </c>
      <c r="L27" s="1" t="str">
        <f t="shared" ca="1" si="11"/>
        <v>NA</v>
      </c>
      <c r="M27" s="1" t="str">
        <f t="shared" ca="1" si="10"/>
        <v>NA</v>
      </c>
      <c r="N27" s="1" t="str">
        <f t="shared" ca="1" si="12"/>
        <v>NA</v>
      </c>
      <c r="O27" s="1" t="str">
        <f t="shared" ca="1" si="14"/>
        <v>NA</v>
      </c>
      <c r="P27" s="1" t="str">
        <f t="shared" ca="1" si="15"/>
        <v>NA</v>
      </c>
      <c r="Q27" s="1" t="str">
        <f t="shared" ca="1" si="16"/>
        <v>NA</v>
      </c>
      <c r="R27" s="1" t="str">
        <f t="shared" ca="1" si="17"/>
        <v>NA</v>
      </c>
      <c r="S27" s="1" t="str">
        <f t="shared" ca="1" si="18"/>
        <v>NA</v>
      </c>
      <c r="T27" s="1" t="str">
        <f t="shared" ca="1" si="19"/>
        <v>NA</v>
      </c>
      <c r="U27" s="1" t="str">
        <f t="shared" ca="1" si="20"/>
        <v>NA</v>
      </c>
      <c r="V27" s="1" t="str">
        <f t="shared" ref="V27:V34" ca="1" si="21">IF($K27&gt;$BE$9,"NA",CORREL(OFFSET(INDIRECT($BA$4),0,V$15-1,$L$9,1),OFFSET(INDIRECT($BA$4),0,$K27-1,$L$9,1)))</f>
        <v>NA</v>
      </c>
      <c r="W27" s="1">
        <v>1</v>
      </c>
    </row>
    <row r="28" spans="1:28" x14ac:dyDescent="0.25">
      <c r="A28" s="3" t="str">
        <f t="shared" ca="1" si="5"/>
        <v>NA</v>
      </c>
      <c r="B28" s="3" t="str">
        <f t="shared" ca="1" si="6"/>
        <v>NA</v>
      </c>
      <c r="C28" s="3" t="str">
        <f t="shared" ca="1" si="7"/>
        <v>NA</v>
      </c>
      <c r="D28" s="3" t="e">
        <f t="shared" ca="1" si="13"/>
        <v>#VALUE!</v>
      </c>
      <c r="E28" s="3" t="e">
        <f t="shared" ca="1" si="8"/>
        <v>#VALUE!</v>
      </c>
      <c r="F28" s="16" t="s">
        <v>105</v>
      </c>
      <c r="G28" s="16">
        <v>0</v>
      </c>
      <c r="H28" s="16">
        <v>0</v>
      </c>
      <c r="I28" s="16">
        <v>0</v>
      </c>
      <c r="J28" s="1" t="str">
        <f t="shared" ca="1" si="9"/>
        <v/>
      </c>
      <c r="K28" s="3">
        <v>11</v>
      </c>
      <c r="L28" s="1" t="str">
        <f t="shared" ca="1" si="11"/>
        <v>NA</v>
      </c>
      <c r="M28" s="1" t="str">
        <f t="shared" ca="1" si="10"/>
        <v>NA</v>
      </c>
      <c r="N28" s="1" t="str">
        <f t="shared" ca="1" si="12"/>
        <v>NA</v>
      </c>
      <c r="O28" s="1" t="str">
        <f t="shared" ca="1" si="14"/>
        <v>NA</v>
      </c>
      <c r="P28" s="1" t="str">
        <f t="shared" ca="1" si="15"/>
        <v>NA</v>
      </c>
      <c r="Q28" s="1" t="str">
        <f t="shared" ca="1" si="16"/>
        <v>NA</v>
      </c>
      <c r="R28" s="1" t="str">
        <f t="shared" ca="1" si="17"/>
        <v>NA</v>
      </c>
      <c r="S28" s="1" t="str">
        <f t="shared" ca="1" si="18"/>
        <v>NA</v>
      </c>
      <c r="T28" s="1" t="str">
        <f t="shared" ca="1" si="19"/>
        <v>NA</v>
      </c>
      <c r="U28" s="1" t="str">
        <f t="shared" ca="1" si="20"/>
        <v>NA</v>
      </c>
      <c r="V28" s="1" t="str">
        <f t="shared" ca="1" si="21"/>
        <v>NA</v>
      </c>
      <c r="W28" s="1" t="str">
        <f t="shared" ref="W28:W34" ca="1" si="22">IF($K28&gt;$BE$9,"NA",CORREL(OFFSET(INDIRECT($BA$4),0,W$15-1,$L$9,1),OFFSET(INDIRECT($BA$4),0,$K28-1,$L$9,1)))</f>
        <v>NA</v>
      </c>
      <c r="X28" s="1">
        <v>1</v>
      </c>
    </row>
    <row r="29" spans="1:28" x14ac:dyDescent="0.25">
      <c r="A29" s="3" t="str">
        <f t="shared" ca="1" si="5"/>
        <v>NA</v>
      </c>
      <c r="B29" s="3" t="str">
        <f t="shared" ca="1" si="6"/>
        <v>NA</v>
      </c>
      <c r="C29" s="3" t="str">
        <f t="shared" ca="1" si="7"/>
        <v>NA</v>
      </c>
      <c r="D29" s="3" t="e">
        <f t="shared" ca="1" si="13"/>
        <v>#VALUE!</v>
      </c>
      <c r="E29" s="3" t="e">
        <f t="shared" ca="1" si="8"/>
        <v>#VALUE!</v>
      </c>
      <c r="F29" s="16" t="s">
        <v>106</v>
      </c>
      <c r="G29" s="16">
        <v>0</v>
      </c>
      <c r="H29" s="16">
        <v>0</v>
      </c>
      <c r="I29" s="16">
        <v>0</v>
      </c>
      <c r="J29" s="1" t="str">
        <f t="shared" ca="1" si="9"/>
        <v/>
      </c>
      <c r="K29" s="3">
        <v>12</v>
      </c>
      <c r="L29" s="1" t="str">
        <f t="shared" ca="1" si="11"/>
        <v>NA</v>
      </c>
      <c r="M29" s="1" t="str">
        <f t="shared" ca="1" si="10"/>
        <v>NA</v>
      </c>
      <c r="N29" s="1" t="str">
        <f t="shared" ca="1" si="12"/>
        <v>NA</v>
      </c>
      <c r="O29" s="1" t="str">
        <f t="shared" ca="1" si="14"/>
        <v>NA</v>
      </c>
      <c r="P29" s="1" t="str">
        <f t="shared" ca="1" si="15"/>
        <v>NA</v>
      </c>
      <c r="Q29" s="1" t="str">
        <f t="shared" ca="1" si="16"/>
        <v>NA</v>
      </c>
      <c r="R29" s="1" t="str">
        <f t="shared" ca="1" si="17"/>
        <v>NA</v>
      </c>
      <c r="S29" s="1" t="str">
        <f t="shared" ca="1" si="18"/>
        <v>NA</v>
      </c>
      <c r="T29" s="1" t="str">
        <f t="shared" ca="1" si="19"/>
        <v>NA</v>
      </c>
      <c r="U29" s="1" t="str">
        <f t="shared" ca="1" si="20"/>
        <v>NA</v>
      </c>
      <c r="V29" s="1" t="str">
        <f t="shared" ca="1" si="21"/>
        <v>NA</v>
      </c>
      <c r="W29" s="1" t="str">
        <f t="shared" ca="1" si="22"/>
        <v>NA</v>
      </c>
      <c r="X29" s="1" t="str">
        <f t="shared" ref="X29:X34" ca="1" si="23">IF($K29&gt;$BE$9,"NA",CORREL(OFFSET(INDIRECT($BA$4),0,X$15-1,$L$9,1),OFFSET(INDIRECT($BA$4),0,$K29-1,$L$9,1)))</f>
        <v>NA</v>
      </c>
      <c r="Y29" s="1">
        <v>1</v>
      </c>
    </row>
    <row r="30" spans="1:28" x14ac:dyDescent="0.25">
      <c r="A30" s="3" t="str">
        <f t="shared" ca="1" si="5"/>
        <v>NA</v>
      </c>
      <c r="B30" s="3" t="str">
        <f t="shared" ca="1" si="6"/>
        <v>NA</v>
      </c>
      <c r="C30" s="3" t="str">
        <f t="shared" ca="1" si="7"/>
        <v>NA</v>
      </c>
      <c r="D30" s="3" t="e">
        <f t="shared" ca="1" si="13"/>
        <v>#VALUE!</v>
      </c>
      <c r="E30" s="3" t="e">
        <f t="shared" ca="1" si="8"/>
        <v>#VALUE!</v>
      </c>
      <c r="F30" s="16">
        <v>0</v>
      </c>
      <c r="G30" s="16">
        <v>0</v>
      </c>
      <c r="H30" s="16">
        <v>0</v>
      </c>
      <c r="I30" s="16">
        <v>0</v>
      </c>
      <c r="J30" s="1" t="str">
        <f t="shared" ca="1" si="9"/>
        <v/>
      </c>
      <c r="K30" s="3">
        <v>13</v>
      </c>
      <c r="L30" s="1" t="str">
        <f t="shared" ca="1" si="11"/>
        <v>NA</v>
      </c>
      <c r="M30" s="1" t="str">
        <f t="shared" ca="1" si="10"/>
        <v>NA</v>
      </c>
      <c r="N30" s="1" t="str">
        <f t="shared" ca="1" si="12"/>
        <v>NA</v>
      </c>
      <c r="O30" s="1" t="str">
        <f t="shared" ca="1" si="14"/>
        <v>NA</v>
      </c>
      <c r="P30" s="1" t="str">
        <f t="shared" ca="1" si="15"/>
        <v>NA</v>
      </c>
      <c r="Q30" s="1" t="str">
        <f t="shared" ca="1" si="16"/>
        <v>NA</v>
      </c>
      <c r="R30" s="1" t="str">
        <f t="shared" ca="1" si="17"/>
        <v>NA</v>
      </c>
      <c r="S30" s="1" t="str">
        <f t="shared" ca="1" si="18"/>
        <v>NA</v>
      </c>
      <c r="T30" s="1" t="str">
        <f t="shared" ca="1" si="19"/>
        <v>NA</v>
      </c>
      <c r="U30" s="1" t="str">
        <f t="shared" ca="1" si="20"/>
        <v>NA</v>
      </c>
      <c r="V30" s="1" t="str">
        <f t="shared" ca="1" si="21"/>
        <v>NA</v>
      </c>
      <c r="W30" s="1" t="str">
        <f t="shared" ca="1" si="22"/>
        <v>NA</v>
      </c>
      <c r="X30" s="1" t="str">
        <f t="shared" ca="1" si="23"/>
        <v>NA</v>
      </c>
      <c r="Y30" s="1" t="str">
        <f ca="1">IF($K30&gt;$BE$9,"NA",CORREL(OFFSET(INDIRECT($BA$4),0,Y$15-1,$L$9,1),OFFSET(INDIRECT($BA$4),0,$K30-1,$L$9,1)))</f>
        <v>NA</v>
      </c>
      <c r="Z30" s="1">
        <v>1</v>
      </c>
    </row>
    <row r="31" spans="1:28" x14ac:dyDescent="0.25">
      <c r="A31" s="3" t="str">
        <f t="shared" ca="1" si="5"/>
        <v>NA</v>
      </c>
      <c r="B31" s="3" t="str">
        <f t="shared" ca="1" si="6"/>
        <v>NA</v>
      </c>
      <c r="C31" s="3" t="str">
        <f t="shared" ca="1" si="7"/>
        <v>NA</v>
      </c>
      <c r="D31" s="3" t="e">
        <f t="shared" ca="1" si="13"/>
        <v>#VALUE!</v>
      </c>
      <c r="E31" s="3" t="e">
        <f t="shared" ca="1" si="8"/>
        <v>#VALUE!</v>
      </c>
      <c r="F31" s="16">
        <v>0</v>
      </c>
      <c r="G31" s="16">
        <v>0</v>
      </c>
      <c r="H31" s="16">
        <v>0</v>
      </c>
      <c r="I31" s="16">
        <v>0</v>
      </c>
      <c r="J31" s="1" t="str">
        <f t="shared" ca="1" si="9"/>
        <v/>
      </c>
      <c r="K31" s="3">
        <v>14</v>
      </c>
      <c r="L31" s="1" t="str">
        <f t="shared" ca="1" si="11"/>
        <v>NA</v>
      </c>
      <c r="M31" s="1" t="str">
        <f t="shared" ca="1" si="10"/>
        <v>NA</v>
      </c>
      <c r="N31" s="1" t="str">
        <f t="shared" ca="1" si="12"/>
        <v>NA</v>
      </c>
      <c r="O31" s="1" t="str">
        <f t="shared" ca="1" si="14"/>
        <v>NA</v>
      </c>
      <c r="P31" s="1" t="str">
        <f t="shared" ca="1" si="15"/>
        <v>NA</v>
      </c>
      <c r="Q31" s="1" t="str">
        <f t="shared" ca="1" si="16"/>
        <v>NA</v>
      </c>
      <c r="R31" s="1" t="str">
        <f t="shared" ca="1" si="17"/>
        <v>NA</v>
      </c>
      <c r="S31" s="1" t="str">
        <f t="shared" ca="1" si="18"/>
        <v>NA</v>
      </c>
      <c r="T31" s="1" t="str">
        <f t="shared" ca="1" si="19"/>
        <v>NA</v>
      </c>
      <c r="U31" s="1" t="str">
        <f t="shared" ca="1" si="20"/>
        <v>NA</v>
      </c>
      <c r="V31" s="1" t="str">
        <f t="shared" ca="1" si="21"/>
        <v>NA</v>
      </c>
      <c r="W31" s="1" t="str">
        <f t="shared" ca="1" si="22"/>
        <v>NA</v>
      </c>
      <c r="X31" s="1" t="str">
        <f t="shared" ca="1" si="23"/>
        <v>NA</v>
      </c>
      <c r="Y31" s="1" t="str">
        <f ca="1">IF($K31&gt;$BE$9,"NA",CORREL(OFFSET(INDIRECT($BA$4),0,Y$15-1,$L$9,1),OFFSET(INDIRECT($BA$4),0,$K31-1,$L$9,1)))</f>
        <v>NA</v>
      </c>
      <c r="Z31" s="1" t="str">
        <f ca="1">IF($K31&gt;$BE$9,"NA",CORREL(OFFSET(INDIRECT($BA$4),0,Z$15-1,$L$9,1),OFFSET(INDIRECT($BA$4),0,$K31-1,$L$9,1)))</f>
        <v>NA</v>
      </c>
      <c r="AA31" s="1">
        <v>1</v>
      </c>
    </row>
    <row r="32" spans="1:28" x14ac:dyDescent="0.25">
      <c r="A32" s="3" t="str">
        <f t="shared" ca="1" si="5"/>
        <v>NA</v>
      </c>
      <c r="B32" s="3" t="str">
        <f t="shared" ca="1" si="6"/>
        <v>NA</v>
      </c>
      <c r="C32" s="3" t="str">
        <f t="shared" ca="1" si="7"/>
        <v>NA</v>
      </c>
      <c r="D32" s="3" t="e">
        <f t="shared" ca="1" si="13"/>
        <v>#VALUE!</v>
      </c>
      <c r="E32" s="3" t="e">
        <f t="shared" ca="1" si="8"/>
        <v>#VALUE!</v>
      </c>
      <c r="F32" s="16">
        <v>0</v>
      </c>
      <c r="G32" s="16">
        <v>0</v>
      </c>
      <c r="H32" s="16">
        <v>0</v>
      </c>
      <c r="I32" s="16">
        <v>0</v>
      </c>
      <c r="J32" s="1" t="str">
        <f t="shared" ca="1" si="9"/>
        <v/>
      </c>
      <c r="K32" s="3">
        <v>15</v>
      </c>
      <c r="L32" s="1" t="str">
        <f t="shared" ca="1" si="11"/>
        <v>NA</v>
      </c>
      <c r="M32" s="1" t="str">
        <f t="shared" ca="1" si="10"/>
        <v>NA</v>
      </c>
      <c r="N32" s="1" t="str">
        <f t="shared" ca="1" si="12"/>
        <v>NA</v>
      </c>
      <c r="O32" s="1" t="str">
        <f t="shared" ca="1" si="14"/>
        <v>NA</v>
      </c>
      <c r="P32" s="1" t="str">
        <f t="shared" ca="1" si="15"/>
        <v>NA</v>
      </c>
      <c r="Q32" s="1" t="str">
        <f t="shared" ca="1" si="16"/>
        <v>NA</v>
      </c>
      <c r="R32" s="1" t="str">
        <f t="shared" ca="1" si="17"/>
        <v>NA</v>
      </c>
      <c r="S32" s="1" t="str">
        <f t="shared" ca="1" si="18"/>
        <v>NA</v>
      </c>
      <c r="T32" s="1" t="str">
        <f t="shared" ca="1" si="19"/>
        <v>NA</v>
      </c>
      <c r="U32" s="1" t="str">
        <f t="shared" ca="1" si="20"/>
        <v>NA</v>
      </c>
      <c r="V32" s="1" t="str">
        <f t="shared" ca="1" si="21"/>
        <v>NA</v>
      </c>
      <c r="W32" s="1" t="str">
        <f t="shared" ca="1" si="22"/>
        <v>NA</v>
      </c>
      <c r="X32" s="1" t="str">
        <f t="shared" ca="1" si="23"/>
        <v>NA</v>
      </c>
      <c r="Y32" s="1" t="str">
        <f ca="1">IF($K32&gt;$BE$9,"NA",CORREL(OFFSET(INDIRECT($BA$4),0,Y$15-1,$L$9,1),OFFSET(INDIRECT($BA$4),0,$K32-1,$L$9,1)))</f>
        <v>NA</v>
      </c>
      <c r="Z32" s="1" t="str">
        <f ca="1">IF($K32&gt;$BE$9,"NA",CORREL(OFFSET(INDIRECT($BA$4),0,Z$15-1,$L$9,1),OFFSET(INDIRECT($BA$4),0,$K32-1,$L$9,1)))</f>
        <v>NA</v>
      </c>
      <c r="AA32" s="1" t="str">
        <f ca="1">IF($K32&gt;$BE$9,"NA",CORREL(OFFSET(INDIRECT($BA$4),0,AA$15-1,$L$9,1),OFFSET(INDIRECT($BA$4),0,$K32-1,$L$9,1)))</f>
        <v>NA</v>
      </c>
      <c r="AB32" s="1">
        <v>1</v>
      </c>
    </row>
    <row r="33" spans="1:36" x14ac:dyDescent="0.25">
      <c r="A33" s="3" t="str">
        <f t="shared" ca="1" si="5"/>
        <v>NA</v>
      </c>
      <c r="B33" s="3" t="str">
        <f t="shared" ca="1" si="6"/>
        <v>NA</v>
      </c>
      <c r="C33" s="3" t="str">
        <f t="shared" ca="1" si="7"/>
        <v>NA</v>
      </c>
      <c r="D33" s="3" t="e">
        <f t="shared" ca="1" si="13"/>
        <v>#VALUE!</v>
      </c>
      <c r="E33" s="3" t="e">
        <f t="shared" ca="1" si="8"/>
        <v>#VALUE!</v>
      </c>
      <c r="F33" s="16">
        <v>0</v>
      </c>
      <c r="G33" s="16">
        <v>0</v>
      </c>
      <c r="H33" s="16">
        <v>0</v>
      </c>
      <c r="I33" s="16">
        <v>0</v>
      </c>
      <c r="J33" s="1" t="str">
        <f t="shared" ca="1" si="9"/>
        <v/>
      </c>
      <c r="K33" s="3">
        <v>16</v>
      </c>
      <c r="L33" s="1" t="str">
        <f t="shared" ca="1" si="11"/>
        <v>NA</v>
      </c>
      <c r="M33" s="1" t="str">
        <f t="shared" ca="1" si="10"/>
        <v>NA</v>
      </c>
      <c r="N33" s="1" t="str">
        <f t="shared" ca="1" si="12"/>
        <v>NA</v>
      </c>
      <c r="O33" s="1" t="str">
        <f t="shared" ca="1" si="14"/>
        <v>NA</v>
      </c>
      <c r="P33" s="1" t="str">
        <f t="shared" ca="1" si="15"/>
        <v>NA</v>
      </c>
      <c r="Q33" s="1" t="str">
        <f t="shared" ca="1" si="16"/>
        <v>NA</v>
      </c>
      <c r="R33" s="1" t="str">
        <f t="shared" ca="1" si="17"/>
        <v>NA</v>
      </c>
      <c r="S33" s="1" t="str">
        <f t="shared" ca="1" si="18"/>
        <v>NA</v>
      </c>
      <c r="T33" s="1" t="str">
        <f t="shared" ca="1" si="19"/>
        <v>NA</v>
      </c>
      <c r="U33" s="1" t="str">
        <f t="shared" ca="1" si="20"/>
        <v>NA</v>
      </c>
      <c r="V33" s="1" t="str">
        <f t="shared" ca="1" si="21"/>
        <v>NA</v>
      </c>
      <c r="W33" s="1" t="str">
        <f t="shared" ca="1" si="22"/>
        <v>NA</v>
      </c>
      <c r="X33" s="1" t="str">
        <f t="shared" ca="1" si="23"/>
        <v>NA</v>
      </c>
      <c r="Y33" s="1" t="str">
        <f ca="1">IF($K33&gt;$BE$9,"NA",CORREL(OFFSET(INDIRECT($BA$4),0,Y$15-1,$L$9,1),OFFSET(INDIRECT($BA$4),0,$K33-1,$L$9,1)))</f>
        <v>NA</v>
      </c>
      <c r="Z33" s="1" t="str">
        <f ca="1">IF($K33&gt;$BE$9,"NA",CORREL(OFFSET(INDIRECT($BA$4),0,Z$15-1,$L$9,1),OFFSET(INDIRECT($BA$4),0,$K33-1,$L$9,1)))</f>
        <v>NA</v>
      </c>
      <c r="AA33" s="1" t="str">
        <f ca="1">IF($K33&gt;$BE$9,"NA",CORREL(OFFSET(INDIRECT($BA$4),0,AA$15-1,$L$9,1),OFFSET(INDIRECT($BA$4),0,$K33-1,$L$9,1)))</f>
        <v>NA</v>
      </c>
      <c r="AB33" s="1" t="str">
        <f ca="1">IF($K33&gt;$BE$9,"NA",CORREL(OFFSET(INDIRECT($BA$4),0,AB$15-1,$L$9,1),OFFSET(INDIRECT($BA$4),0,$K33-1,$L$9,1)))</f>
        <v>NA</v>
      </c>
      <c r="AC33" s="1">
        <v>1</v>
      </c>
      <c r="AI33" s="1" t="s">
        <v>107</v>
      </c>
    </row>
    <row r="34" spans="1:36" x14ac:dyDescent="0.25">
      <c r="A34" s="3" t="str">
        <f t="shared" ca="1" si="5"/>
        <v>NA</v>
      </c>
      <c r="B34" s="3" t="str">
        <f t="shared" ca="1" si="6"/>
        <v>NA</v>
      </c>
      <c r="C34" s="3" t="str">
        <f t="shared" ca="1" si="7"/>
        <v>NA</v>
      </c>
      <c r="D34" s="3" t="e">
        <f t="shared" ca="1" si="13"/>
        <v>#VALUE!</v>
      </c>
      <c r="E34" s="3" t="e">
        <f t="shared" ca="1" si="8"/>
        <v>#VALUE!</v>
      </c>
      <c r="F34" s="16">
        <v>0</v>
      </c>
      <c r="G34" s="16">
        <v>0</v>
      </c>
      <c r="H34" s="16">
        <v>0</v>
      </c>
      <c r="I34" s="16">
        <v>0</v>
      </c>
      <c r="J34" s="1" t="str">
        <f t="shared" ca="1" si="9"/>
        <v/>
      </c>
      <c r="K34" s="3">
        <v>17</v>
      </c>
      <c r="L34" s="1" t="str">
        <f t="shared" ca="1" si="11"/>
        <v>NA</v>
      </c>
      <c r="M34" s="1" t="str">
        <f t="shared" ca="1" si="10"/>
        <v>NA</v>
      </c>
      <c r="N34" s="1" t="str">
        <f t="shared" ca="1" si="12"/>
        <v>NA</v>
      </c>
      <c r="O34" s="1" t="str">
        <f t="shared" ca="1" si="14"/>
        <v>NA</v>
      </c>
      <c r="P34" s="1" t="str">
        <f t="shared" ca="1" si="15"/>
        <v>NA</v>
      </c>
      <c r="Q34" s="1" t="str">
        <f t="shared" ca="1" si="16"/>
        <v>NA</v>
      </c>
      <c r="R34" s="1" t="str">
        <f t="shared" ca="1" si="17"/>
        <v>NA</v>
      </c>
      <c r="S34" s="1" t="str">
        <f t="shared" ca="1" si="18"/>
        <v>NA</v>
      </c>
      <c r="T34" s="1" t="str">
        <f t="shared" ca="1" si="19"/>
        <v>NA</v>
      </c>
      <c r="U34" s="1" t="str">
        <f t="shared" ca="1" si="20"/>
        <v>NA</v>
      </c>
      <c r="V34" s="1" t="str">
        <f t="shared" ca="1" si="21"/>
        <v>NA</v>
      </c>
      <c r="W34" s="1" t="str">
        <f t="shared" ca="1" si="22"/>
        <v>NA</v>
      </c>
      <c r="X34" s="1" t="str">
        <f t="shared" ca="1" si="23"/>
        <v>NA</v>
      </c>
      <c r="Y34" s="1" t="str">
        <f ca="1">IF($K34&gt;$BE$9,"NA",CORREL(OFFSET(INDIRECT($BA$4),0,Y$15-1,$L$9,1),OFFSET(INDIRECT($BA$4),0,$K34-1,$L$9,1)))</f>
        <v>NA</v>
      </c>
      <c r="Z34" s="1" t="str">
        <f ca="1">IF($K34&gt;$BE$9,"NA",CORREL(OFFSET(INDIRECT($BA$4),0,Z$15-1,$L$9,1),OFFSET(INDIRECT($BA$4),0,$K34-1,$L$9,1)))</f>
        <v>NA</v>
      </c>
      <c r="AA34" s="1" t="str">
        <f ca="1">IF($K34&gt;$BE$9,"NA",CORREL(OFFSET(INDIRECT($BA$4),0,AA$15-1,$L$9,1),OFFSET(INDIRECT($BA$4),0,$K34-1,$L$9,1)))</f>
        <v>NA</v>
      </c>
      <c r="AB34" s="1" t="str">
        <f ca="1">IF($K34&gt;$BE$9,"NA",CORREL(OFFSET(INDIRECT($BA$4),0,AB$15-1,$L$9,1),OFFSET(INDIRECT($BA$4),0,$K34-1,$L$9,1)))</f>
        <v>NA</v>
      </c>
      <c r="AC34" s="1" t="str">
        <f ca="1">IF($K34&gt;$BE$9,"NA",CORREL(OFFSET(INDIRECT($BA$4),0,AC$15-1,$L$9,1),OFFSET(INDIRECT($BA$4),0,$K34-1,$L$9,1)))</f>
        <v>NA</v>
      </c>
      <c r="AD34" s="1">
        <v>1</v>
      </c>
      <c r="AI34" s="1" t="str">
        <f>"'"&amp;$AA42&amp;"'!"&amp;AB42&amp;AD42</f>
        <v>'sampledata2'!G17</v>
      </c>
      <c r="AJ34" s="1" t="str">
        <f>AI34&amp;":"&amp;AB42&amp;AE42</f>
        <v>'sampledata2'!G17:G21</v>
      </c>
    </row>
    <row r="35" spans="1:36" x14ac:dyDescent="0.25">
      <c r="A35" s="3" t="s">
        <v>108</v>
      </c>
      <c r="B35" s="3"/>
      <c r="C35" s="3"/>
      <c r="AI35" s="1" t="str">
        <f>"'"&amp;$AA43&amp;"'!"&amp;AB43&amp;AD43</f>
        <v>'sampledata2'!C17</v>
      </c>
      <c r="AJ35" s="1" t="str">
        <f>AI35&amp;":"&amp;AC43&amp;AE43</f>
        <v>'sampledata2'!C17:D21</v>
      </c>
    </row>
    <row r="36" spans="1:36" x14ac:dyDescent="0.25">
      <c r="A36" s="1" t="s">
        <v>109</v>
      </c>
      <c r="B36" s="3" t="str">
        <f ca="1">J17&amp;J18&amp;J19&amp;J20&amp;J21&amp;J22&amp;J23&amp;J24&amp;J25&amp;J26&amp;J27&amp;J28&amp;J29&amp;J30&amp;J31&amp;J32&amp;J33&amp;J34</f>
        <v>10.3553578704332 + 3.89019421431482*x1 + -3.82249083254108*x2</v>
      </c>
      <c r="Z36" s="1" t="s">
        <v>110</v>
      </c>
      <c r="AI36" s="1" t="str">
        <f>"'"&amp;$AA42&amp;"'!"&amp;AB42&amp;(AD42-1)</f>
        <v>'sampledata2'!G16</v>
      </c>
    </row>
    <row r="37" spans="1:36" x14ac:dyDescent="0.25">
      <c r="A37" s="1" t="s">
        <v>111</v>
      </c>
      <c r="O37" s="1" t="s">
        <v>112</v>
      </c>
      <c r="Z37" s="1" t="s">
        <v>16</v>
      </c>
      <c r="AI37" s="1" t="str">
        <f>"'"&amp;$AA43&amp;"'!"&amp;AB43&amp;(AD43-1)</f>
        <v>'sampledata2'!C16</v>
      </c>
    </row>
    <row r="38" spans="1:36" x14ac:dyDescent="0.25">
      <c r="O38" s="1">
        <f>COUNT(#REF!)</f>
        <v>0</v>
      </c>
      <c r="Z38" s="1" t="s">
        <v>113</v>
      </c>
    </row>
    <row r="39" spans="1:36" x14ac:dyDescent="0.25">
      <c r="O39" s="1" t="s">
        <v>114</v>
      </c>
      <c r="V39" s="17"/>
      <c r="Z39" s="1" t="s">
        <v>115</v>
      </c>
    </row>
    <row r="40" spans="1:36" x14ac:dyDescent="0.25">
      <c r="A40" s="1" t="s">
        <v>55</v>
      </c>
      <c r="O40" s="1" t="s">
        <v>116</v>
      </c>
      <c r="W40" s="18"/>
      <c r="X40" s="19"/>
      <c r="Z40" s="1" t="s">
        <v>117</v>
      </c>
    </row>
    <row r="41" spans="1:36" x14ac:dyDescent="0.25">
      <c r="B41" s="2" t="s">
        <v>118</v>
      </c>
      <c r="C41">
        <f ca="1">I13</f>
        <v>1</v>
      </c>
      <c r="D41" s="1" t="str">
        <f ca="1">I14</f>
        <v>good: #rows in residuals is equal to # of data points</v>
      </c>
      <c r="O41" s="1" t="s">
        <v>119</v>
      </c>
      <c r="W41" s="18"/>
      <c r="X41" s="19"/>
      <c r="AA41" s="1" t="s">
        <v>65</v>
      </c>
      <c r="AB41" s="1" t="s">
        <v>66</v>
      </c>
      <c r="AC41" s="1" t="s">
        <v>67</v>
      </c>
      <c r="AD41" s="1" t="s">
        <v>68</v>
      </c>
      <c r="AE41" s="1" t="s">
        <v>69</v>
      </c>
    </row>
    <row r="42" spans="1:36" ht="90" x14ac:dyDescent="0.25">
      <c r="A42" s="2" t="s">
        <v>56</v>
      </c>
      <c r="B42" s="2" t="str">
        <f ca="1">A19</f>
        <v>x2</v>
      </c>
      <c r="C42" s="20" t="str">
        <f ca="1">"Observed "&amp;BC12</f>
        <v>Observed y</v>
      </c>
      <c r="D42" s="20" t="str">
        <f ca="1">"Predicted  "&amp;BC12</f>
        <v>Predicted  y</v>
      </c>
      <c r="E42" s="2" t="str">
        <f ca="1">"Residuals of "&amp;BC12</f>
        <v>Residuals of y</v>
      </c>
      <c r="F42" s="20" t="s">
        <v>59</v>
      </c>
      <c r="G42" s="21" t="str">
        <f ca="1">E42</f>
        <v>Residuals of y</v>
      </c>
      <c r="H42" s="17" t="s">
        <v>120</v>
      </c>
      <c r="I42" s="17" t="s">
        <v>121</v>
      </c>
      <c r="J42" s="17" t="s">
        <v>122</v>
      </c>
      <c r="K42" s="17" t="s">
        <v>123</v>
      </c>
      <c r="L42" s="17" t="str">
        <f ca="1">"Ordered "&amp;G42</f>
        <v>Ordered Residuals of y</v>
      </c>
      <c r="M42" s="17" t="str">
        <f ca="1">G42</f>
        <v>Residuals of y</v>
      </c>
      <c r="O42" s="1" t="s">
        <v>124</v>
      </c>
      <c r="P42" s="1" t="s">
        <v>125</v>
      </c>
      <c r="Q42" s="1" t="s">
        <v>126</v>
      </c>
      <c r="R42" s="17" t="s">
        <v>127</v>
      </c>
      <c r="S42" s="17" t="s">
        <v>128</v>
      </c>
      <c r="T42" s="17" t="s">
        <v>129</v>
      </c>
      <c r="U42" s="17" t="s">
        <v>130</v>
      </c>
      <c r="W42" s="18"/>
      <c r="X42" s="19"/>
      <c r="Z42" s="1" t="s">
        <v>71</v>
      </c>
      <c r="AA42" s="29" t="str">
        <f>I3</f>
        <v>sampledata2</v>
      </c>
      <c r="AB42" s="29" t="str">
        <f>J3</f>
        <v>G</v>
      </c>
      <c r="AD42" s="29">
        <v>17</v>
      </c>
      <c r="AE42" s="29">
        <v>21</v>
      </c>
      <c r="AI42" s="1" t="s">
        <v>131</v>
      </c>
    </row>
    <row r="43" spans="1:36" x14ac:dyDescent="0.25">
      <c r="A43" s="3">
        <v>1</v>
      </c>
      <c r="B43" s="16" t="s">
        <v>132</v>
      </c>
      <c r="C43" s="1">
        <f t="shared" ref="C43:C52" ca="1" si="24">IF(OR(ISBLANK(A43),A43&gt;$I$9),"NA",OFFSET(INDIRECT($BA$3),A43-1,0,1,1))</f>
        <v>-1</v>
      </c>
      <c r="D43" s="3">
        <f t="shared" ref="D43:D52" ca="1" si="25">$BE$13+SUMPRODUCT(OFFSET($BF$13,0,0,1,$BE$9),OFFSET(INDIRECT($BA$4),A43-1,0,1,$BE$9))</f>
        <v>2.7780795871248074</v>
      </c>
      <c r="E43" s="3">
        <f t="shared" ref="E43:E52" ca="1" si="26">C43-D43</f>
        <v>-3.7780795871248074</v>
      </c>
      <c r="F43" s="16" t="s">
        <v>132</v>
      </c>
      <c r="G43" s="22">
        <f ca="1">E43</f>
        <v>-3.7780795871248074</v>
      </c>
      <c r="H43" s="1">
        <v>1</v>
      </c>
      <c r="I43" s="1">
        <f ca="1">(H43-0.5)/$B$8</f>
        <v>0.05</v>
      </c>
      <c r="J43" s="1">
        <f ca="1">1-I43</f>
        <v>0.95</v>
      </c>
      <c r="K43" s="23">
        <f ca="1">NORMINV(I43,0,1)</f>
        <v>-1.6448536269514726</v>
      </c>
      <c r="L43" s="1">
        <f t="shared" ref="L43:L52" ca="1" si="27">IF(H43&lt;=$B$8,SMALL($E$43:$E$65535,H43),"NA")</f>
        <v>-8.8036805649870953</v>
      </c>
      <c r="M43" s="24">
        <v>1</v>
      </c>
      <c r="O43" s="25">
        <f ca="1">W74</f>
        <v>-8.8036805649870953</v>
      </c>
      <c r="P43" s="1">
        <f ca="1">IF(ISNUMBER(O44),O44,$W$78)</f>
        <v>-6.8078908053782392</v>
      </c>
      <c r="Q43" s="24" t="str">
        <f ca="1">"&lt;"&amp;P43</f>
        <v>&lt;-6.80789080537824</v>
      </c>
      <c r="R43" s="1">
        <f ca="1">COUNTIF($E$43:$E$65535,"&lt;"&amp;P43)</f>
        <v>1</v>
      </c>
      <c r="S43" s="1">
        <f ca="1">R43</f>
        <v>1</v>
      </c>
      <c r="T43" s="26">
        <f ca="1">S43/$B$8</f>
        <v>0.1</v>
      </c>
      <c r="U43" s="27">
        <f ca="1">T43</f>
        <v>0.1</v>
      </c>
      <c r="W43" s="18"/>
      <c r="X43" s="19"/>
      <c r="Z43" s="1" t="s">
        <v>76</v>
      </c>
      <c r="AA43" s="30" t="str">
        <f>AA42</f>
        <v>sampledata2</v>
      </c>
      <c r="AB43" s="29" t="str">
        <f>J4</f>
        <v>C</v>
      </c>
      <c r="AC43" s="29" t="str">
        <f>K4</f>
        <v>D</v>
      </c>
      <c r="AD43" s="30">
        <f>AD42</f>
        <v>17</v>
      </c>
      <c r="AE43" s="30">
        <f>AD43+(AE42-AD42)</f>
        <v>21</v>
      </c>
      <c r="AI43" s="1" t="s">
        <v>133</v>
      </c>
    </row>
    <row r="44" spans="1:36" x14ac:dyDescent="0.25">
      <c r="A44" s="3">
        <v>2</v>
      </c>
      <c r="B44" s="16" t="s">
        <v>104</v>
      </c>
      <c r="C44" s="1">
        <f t="shared" ca="1" si="24"/>
        <v>-3</v>
      </c>
      <c r="D44" s="3">
        <f t="shared" ca="1" si="25"/>
        <v>-0.84130110009507497</v>
      </c>
      <c r="E44" s="3">
        <f t="shared" ca="1" si="26"/>
        <v>-2.158698899904925</v>
      </c>
      <c r="F44" s="16" t="s">
        <v>104</v>
      </c>
      <c r="G44" s="22">
        <f t="shared" ref="G44:G52" ca="1" si="28">E44</f>
        <v>-2.158698899904925</v>
      </c>
      <c r="H44" s="1">
        <v>2</v>
      </c>
      <c r="I44" s="1">
        <f t="shared" ref="I44:I52" ca="1" si="29">(H44-0.5)/$B$8</f>
        <v>0.15</v>
      </c>
      <c r="J44" s="1">
        <f t="shared" ref="J44:J52" ca="1" si="30">1-I44</f>
        <v>0.85</v>
      </c>
      <c r="K44" s="23">
        <f t="shared" ref="K44:K52" ca="1" si="31">NORMINV(I44,0,1)</f>
        <v>-1.0364333894937898</v>
      </c>
      <c r="L44" s="1">
        <f t="shared" ca="1" si="27"/>
        <v>-3.7780795871248074</v>
      </c>
      <c r="M44" s="1">
        <f ca="1">IF(ROUND($AI$63*L44,$AI$61)=ROUND($AI$63*L43,$AI$61),M43+1,$M$43)</f>
        <v>1</v>
      </c>
      <c r="O44" s="25">
        <f t="shared" ref="O44:O56" ca="1" si="32">O43+($W$78-$W$74)/10</f>
        <v>-6.8078908053782392</v>
      </c>
      <c r="P44" s="1">
        <f t="shared" ref="P44:P56" ca="1" si="33">IF(ISNUMBER(O45),O45,$W$78)</f>
        <v>-4.8121010457693831</v>
      </c>
      <c r="Q44" s="1" t="str">
        <f t="shared" ref="Q44:Q56" ca="1" si="34">O44&amp;" to &lt;"&amp;P44</f>
        <v>-6.80789080537824 to &lt;-4.81210104576938</v>
      </c>
      <c r="R44" s="1">
        <f t="shared" ref="R44:R56" ca="1" si="35">COUNTIF($E$43:$E$65535,"&lt;"&amp;P44)</f>
        <v>1</v>
      </c>
      <c r="S44" s="1">
        <f ca="1">R44-R43</f>
        <v>0</v>
      </c>
      <c r="T44" s="26">
        <f t="shared" ref="T44:T56" ca="1" si="36">S44/$B$8</f>
        <v>0</v>
      </c>
      <c r="U44" s="27">
        <f ca="1">U43+T44</f>
        <v>0.1</v>
      </c>
      <c r="W44" s="18"/>
      <c r="X44" s="19"/>
      <c r="AI44" s="1" t="s">
        <v>134</v>
      </c>
    </row>
    <row r="45" spans="1:36" x14ac:dyDescent="0.25">
      <c r="A45" s="3">
        <v>3</v>
      </c>
      <c r="B45" s="16" t="s">
        <v>105</v>
      </c>
      <c r="C45" s="1">
        <f t="shared" ca="1" si="24"/>
        <v>27</v>
      </c>
      <c r="D45" s="3">
        <f t="shared" ca="1" si="25"/>
        <v>25.983838109466252</v>
      </c>
      <c r="E45" s="3">
        <f t="shared" ca="1" si="26"/>
        <v>1.0161618905337484</v>
      </c>
      <c r="F45" s="16" t="s">
        <v>105</v>
      </c>
      <c r="G45" s="22">
        <f t="shared" ca="1" si="28"/>
        <v>1.0161618905337484</v>
      </c>
      <c r="H45" s="1">
        <v>3</v>
      </c>
      <c r="I45" s="1">
        <f t="shared" ca="1" si="29"/>
        <v>0.25</v>
      </c>
      <c r="J45" s="1">
        <f t="shared" ca="1" si="30"/>
        <v>0.75</v>
      </c>
      <c r="K45" s="23">
        <f t="shared" ca="1" si="31"/>
        <v>-0.67448975019608193</v>
      </c>
      <c r="L45" s="1">
        <f t="shared" ca="1" si="27"/>
        <v>-2.158698899904925</v>
      </c>
      <c r="M45" s="1">
        <f t="shared" ref="M45:M52" ca="1" si="37">IF(ROUND($AI$63*L45,$AI$61)=ROUND($AI$63*L44,$AI$61),M44+1,$M$43)</f>
        <v>1</v>
      </c>
      <c r="O45" s="25">
        <f t="shared" ca="1" si="32"/>
        <v>-4.8121010457693831</v>
      </c>
      <c r="P45" s="1">
        <f t="shared" ca="1" si="33"/>
        <v>-2.8163112861605275</v>
      </c>
      <c r="Q45" s="1" t="str">
        <f t="shared" ca="1" si="34"/>
        <v>-4.81210104576938 to &lt;-2.81631128616053</v>
      </c>
      <c r="R45" s="1">
        <f t="shared" ca="1" si="35"/>
        <v>2</v>
      </c>
      <c r="S45" s="1">
        <f t="shared" ref="S45:S56" ca="1" si="38">R45-R44</f>
        <v>1</v>
      </c>
      <c r="T45" s="26">
        <f t="shared" ca="1" si="36"/>
        <v>0.1</v>
      </c>
      <c r="U45" s="27">
        <f t="shared" ref="U45:U56" ca="1" si="39">U44+T45</f>
        <v>0.2</v>
      </c>
      <c r="W45" s="18"/>
      <c r="X45" s="19"/>
      <c r="AI45" s="1" t="s">
        <v>135</v>
      </c>
    </row>
    <row r="46" spans="1:36" x14ac:dyDescent="0.25">
      <c r="A46" s="3">
        <v>4</v>
      </c>
      <c r="B46" s="16" t="s">
        <v>106</v>
      </c>
      <c r="C46" s="1">
        <f t="shared" ca="1" si="24"/>
        <v>9</v>
      </c>
      <c r="D46" s="3">
        <f t="shared" ca="1" si="25"/>
        <v>10.558468015754444</v>
      </c>
      <c r="E46" s="3">
        <f t="shared" ca="1" si="26"/>
        <v>-1.5584680157544444</v>
      </c>
      <c r="F46" s="16" t="s">
        <v>106</v>
      </c>
      <c r="G46" s="22">
        <f t="shared" ca="1" si="28"/>
        <v>-1.5584680157544444</v>
      </c>
      <c r="H46" s="1">
        <v>4</v>
      </c>
      <c r="I46" s="1">
        <f t="shared" ca="1" si="29"/>
        <v>0.35</v>
      </c>
      <c r="J46" s="1">
        <f t="shared" ca="1" si="30"/>
        <v>0.65</v>
      </c>
      <c r="K46" s="23">
        <f t="shared" ca="1" si="31"/>
        <v>-0.38532046640756784</v>
      </c>
      <c r="L46" s="1">
        <f t="shared" ca="1" si="27"/>
        <v>-1.5584680157544444</v>
      </c>
      <c r="M46" s="1">
        <f t="shared" ca="1" si="37"/>
        <v>1</v>
      </c>
      <c r="O46" s="25">
        <f t="shared" ca="1" si="32"/>
        <v>-2.8163112861605275</v>
      </c>
      <c r="P46" s="1">
        <f t="shared" ca="1" si="33"/>
        <v>-0.82052152655167188</v>
      </c>
      <c r="Q46" s="1" t="str">
        <f t="shared" ca="1" si="34"/>
        <v>-2.81631128616053 to &lt;-0.820521526551672</v>
      </c>
      <c r="R46" s="1">
        <f t="shared" ca="1" si="35"/>
        <v>6</v>
      </c>
      <c r="S46" s="1">
        <f t="shared" ca="1" si="38"/>
        <v>4</v>
      </c>
      <c r="T46" s="26">
        <f t="shared" ca="1" si="36"/>
        <v>0.4</v>
      </c>
      <c r="U46" s="27">
        <f t="shared" ca="1" si="39"/>
        <v>0.60000000000000009</v>
      </c>
      <c r="W46" s="18"/>
      <c r="X46" s="19"/>
      <c r="Z46" s="1" t="s">
        <v>136</v>
      </c>
      <c r="AI46" s="1" t="s">
        <v>137</v>
      </c>
    </row>
    <row r="47" spans="1:36" x14ac:dyDescent="0.25">
      <c r="A47" s="3">
        <v>5</v>
      </c>
      <c r="B47" s="16"/>
      <c r="C47" s="1">
        <f t="shared" ca="1" si="24"/>
        <v>6</v>
      </c>
      <c r="D47" s="3">
        <f t="shared" ca="1" si="25"/>
        <v>6.8713839467608295</v>
      </c>
      <c r="E47" s="3">
        <f t="shared" ca="1" si="26"/>
        <v>-0.87138394676082953</v>
      </c>
      <c r="F47" s="16"/>
      <c r="G47" s="22">
        <f t="shared" ca="1" si="28"/>
        <v>-0.87138394676082953</v>
      </c>
      <c r="H47" s="1">
        <v>5</v>
      </c>
      <c r="I47" s="1">
        <f t="shared" ca="1" si="29"/>
        <v>0.45</v>
      </c>
      <c r="J47" s="1">
        <f t="shared" ca="1" si="30"/>
        <v>0.55000000000000004</v>
      </c>
      <c r="K47" s="23">
        <f t="shared" ca="1" si="31"/>
        <v>-0.12566134685507402</v>
      </c>
      <c r="L47" s="1">
        <f t="shared" ca="1" si="27"/>
        <v>-0.87403232378106921</v>
      </c>
      <c r="M47" s="1">
        <f t="shared" ca="1" si="37"/>
        <v>1</v>
      </c>
      <c r="O47" s="25">
        <f t="shared" ca="1" si="32"/>
        <v>-0.82052152655167188</v>
      </c>
      <c r="P47" s="1">
        <f t="shared" ca="1" si="33"/>
        <v>1.1752682330571838</v>
      </c>
      <c r="Q47" s="1" t="str">
        <f t="shared" ca="1" si="34"/>
        <v>-0.820521526551672 to &lt;1.17526823305718</v>
      </c>
      <c r="R47" s="1">
        <f t="shared" ca="1" si="35"/>
        <v>8</v>
      </c>
      <c r="S47" s="1">
        <f t="shared" ca="1" si="38"/>
        <v>2</v>
      </c>
      <c r="T47" s="26">
        <f t="shared" ca="1" si="36"/>
        <v>0.2</v>
      </c>
      <c r="U47" s="27">
        <f t="shared" ca="1" si="39"/>
        <v>0.8</v>
      </c>
      <c r="W47" s="18"/>
      <c r="X47" s="19"/>
      <c r="AI47" s="1" t="s">
        <v>138</v>
      </c>
    </row>
    <row r="48" spans="1:36" ht="30" x14ac:dyDescent="0.25">
      <c r="A48" s="3">
        <v>6</v>
      </c>
      <c r="B48" s="16"/>
      <c r="C48" s="1">
        <f t="shared" ca="1" si="24"/>
        <v>17</v>
      </c>
      <c r="D48" s="3">
        <f t="shared" ca="1" si="25"/>
        <v>10.761578161075647</v>
      </c>
      <c r="E48" s="3">
        <f t="shared" ca="1" si="26"/>
        <v>6.2384218389243529</v>
      </c>
      <c r="F48" s="16"/>
      <c r="G48" s="22">
        <f t="shared" ca="1" si="28"/>
        <v>6.2384218389243529</v>
      </c>
      <c r="H48" s="1">
        <v>6</v>
      </c>
      <c r="I48" s="1">
        <f t="shared" ca="1" si="29"/>
        <v>0.55000000000000004</v>
      </c>
      <c r="J48" s="1">
        <f t="shared" ca="1" si="30"/>
        <v>0.44999999999999996</v>
      </c>
      <c r="K48" s="23">
        <f t="shared" ca="1" si="31"/>
        <v>0.12566134685507416</v>
      </c>
      <c r="L48" s="1">
        <f t="shared" ca="1" si="27"/>
        <v>-0.87138394676082953</v>
      </c>
      <c r="M48" s="1">
        <f t="shared" ca="1" si="37"/>
        <v>1</v>
      </c>
      <c r="O48" s="25">
        <f t="shared" ca="1" si="32"/>
        <v>1.1752682330571838</v>
      </c>
      <c r="P48" s="1">
        <f t="shared" ca="1" si="33"/>
        <v>3.1710579926660394</v>
      </c>
      <c r="Q48" s="1" t="str">
        <f t="shared" ca="1" si="34"/>
        <v>1.17526823305718 to &lt;3.17105799266604</v>
      </c>
      <c r="R48" s="1">
        <f t="shared" ca="1" si="35"/>
        <v>8</v>
      </c>
      <c r="S48" s="1">
        <f t="shared" ca="1" si="38"/>
        <v>0</v>
      </c>
      <c r="T48" s="26">
        <f t="shared" ca="1" si="36"/>
        <v>0</v>
      </c>
      <c r="U48" s="27">
        <f t="shared" ca="1" si="39"/>
        <v>0.8</v>
      </c>
      <c r="W48" s="18"/>
      <c r="X48" s="19"/>
      <c r="Z48" s="2" t="s">
        <v>139</v>
      </c>
      <c r="AA48" s="20" t="str">
        <f ca="1">"Observed  "&amp;INDIRECT(AI36)</f>
        <v>Observed  22</v>
      </c>
      <c r="AB48" s="20" t="str">
        <f ca="1">"Predicted "&amp;INDIRECT(AI36)</f>
        <v>Predicted 22</v>
      </c>
      <c r="AC48" s="2" t="s">
        <v>58</v>
      </c>
      <c r="AI48" s="1" t="s">
        <v>140</v>
      </c>
    </row>
    <row r="49" spans="1:35" x14ac:dyDescent="0.25">
      <c r="A49" s="3">
        <v>7</v>
      </c>
      <c r="B49" s="16"/>
      <c r="C49" s="1">
        <f t="shared" ca="1" si="24"/>
        <v>29</v>
      </c>
      <c r="D49" s="3">
        <f t="shared" ca="1" si="25"/>
        <v>29.874032323781069</v>
      </c>
      <c r="E49" s="3">
        <f t="shared" ca="1" si="26"/>
        <v>-0.87403232378106921</v>
      </c>
      <c r="F49" s="16"/>
      <c r="G49" s="22">
        <f t="shared" ca="1" si="28"/>
        <v>-0.87403232378106921</v>
      </c>
      <c r="H49" s="1">
        <v>7</v>
      </c>
      <c r="I49" s="1">
        <f t="shared" ca="1" si="29"/>
        <v>0.65</v>
      </c>
      <c r="J49" s="1">
        <f t="shared" ca="1" si="30"/>
        <v>0.35</v>
      </c>
      <c r="K49" s="23">
        <f t="shared" ca="1" si="31"/>
        <v>0.38532046640756784</v>
      </c>
      <c r="L49" s="1">
        <f t="shared" ca="1" si="27"/>
        <v>-0.36445742224637101</v>
      </c>
      <c r="M49" s="1">
        <f t="shared" ca="1" si="37"/>
        <v>1</v>
      </c>
      <c r="O49" s="25">
        <f t="shared" ca="1" si="32"/>
        <v>3.1710579926660394</v>
      </c>
      <c r="P49" s="1">
        <f t="shared" ca="1" si="33"/>
        <v>5.1668477522748955</v>
      </c>
      <c r="Q49" s="1" t="str">
        <f t="shared" ca="1" si="34"/>
        <v>3.17105799266604 to &lt;5.1668477522749</v>
      </c>
      <c r="R49" s="1">
        <f t="shared" ca="1" si="35"/>
        <v>8</v>
      </c>
      <c r="S49" s="1">
        <f t="shared" ca="1" si="38"/>
        <v>0</v>
      </c>
      <c r="T49" s="26">
        <f t="shared" ca="1" si="36"/>
        <v>0</v>
      </c>
      <c r="U49" s="27">
        <f t="shared" ca="1" si="39"/>
        <v>0.8</v>
      </c>
      <c r="W49" s="18"/>
      <c r="X49" s="19"/>
      <c r="Z49" s="3">
        <v>1</v>
      </c>
      <c r="AA49" s="1">
        <f ca="1">IF(OR(ISBLANK(Z49),Z49&gt;$I$9),"NA",OFFSET(INDIRECT($AI$34),Z49-1,0,1,1))</f>
        <v>0</v>
      </c>
      <c r="AB49" s="3">
        <f ca="1">$BE$13+SUMPRODUCT(OFFSET($BF$13,0,0,1,$BE$9),OFFSET(INDIRECT($AI$35),Z49-1,0,1,$BE$9))</f>
        <v>10.355357870433242</v>
      </c>
      <c r="AC49" s="3">
        <f ca="1">AA49-AB49</f>
        <v>-10.355357870433242</v>
      </c>
      <c r="AI49" s="1" t="s">
        <v>141</v>
      </c>
    </row>
    <row r="50" spans="1:35" x14ac:dyDescent="0.25">
      <c r="A50" s="3">
        <v>8</v>
      </c>
      <c r="B50" s="16"/>
      <c r="C50" s="1">
        <f t="shared" ca="1" si="24"/>
        <v>-2</v>
      </c>
      <c r="D50" s="3">
        <f t="shared" ca="1" si="25"/>
        <v>6.8036805649870953</v>
      </c>
      <c r="E50" s="3">
        <f t="shared" ca="1" si="26"/>
        <v>-8.8036805649870953</v>
      </c>
      <c r="F50" s="16"/>
      <c r="G50" s="22">
        <f t="shared" ca="1" si="28"/>
        <v>-8.8036805649870953</v>
      </c>
      <c r="H50" s="1">
        <v>8</v>
      </c>
      <c r="I50" s="1">
        <f t="shared" ca="1" si="29"/>
        <v>0.75</v>
      </c>
      <c r="J50" s="1">
        <f t="shared" ca="1" si="30"/>
        <v>0.25</v>
      </c>
      <c r="K50" s="23">
        <f t="shared" ca="1" si="31"/>
        <v>0.67448975019608193</v>
      </c>
      <c r="L50" s="1">
        <f t="shared" ca="1" si="27"/>
        <v>1.0161618905337484</v>
      </c>
      <c r="M50" s="1">
        <f t="shared" ca="1" si="37"/>
        <v>1</v>
      </c>
      <c r="O50" s="25">
        <f t="shared" ca="1" si="32"/>
        <v>5.1668477522748955</v>
      </c>
      <c r="P50" s="1">
        <f t="shared" ca="1" si="33"/>
        <v>7.1626375118837515</v>
      </c>
      <c r="Q50" s="1" t="str">
        <f t="shared" ca="1" si="34"/>
        <v>5.1668477522749 to &lt;7.16263751188375</v>
      </c>
      <c r="R50" s="1">
        <f t="shared" ca="1" si="35"/>
        <v>9</v>
      </c>
      <c r="S50" s="1">
        <f t="shared" ca="1" si="38"/>
        <v>1</v>
      </c>
      <c r="T50" s="26">
        <f t="shared" ca="1" si="36"/>
        <v>0.1</v>
      </c>
      <c r="U50" s="27">
        <f t="shared" ca="1" si="39"/>
        <v>0.9</v>
      </c>
      <c r="W50" s="18"/>
      <c r="X50" s="19"/>
      <c r="Z50" s="3">
        <v>2</v>
      </c>
      <c r="AA50" s="1">
        <f ca="1">IF(OR(ISBLANK(Z50),Z50&gt;$I$9),"NA",OFFSET(INDIRECT($AI$34),Z50-1,0,1,1))</f>
        <v>0</v>
      </c>
      <c r="AB50" s="3">
        <f ca="1">$BE$13+SUMPRODUCT(OFFSET($BF$13,0,0,1,$BE$9),OFFSET(INDIRECT($AI$35),Z50-1,0,1,$BE$9))</f>
        <v>10.355357870433242</v>
      </c>
      <c r="AC50" s="3">
        <f ca="1">AA50-AB50</f>
        <v>-10.355357870433242</v>
      </c>
      <c r="AI50" s="1" t="s">
        <v>142</v>
      </c>
    </row>
    <row r="51" spans="1:35" x14ac:dyDescent="0.25">
      <c r="A51" s="3">
        <v>9</v>
      </c>
      <c r="B51" s="16"/>
      <c r="C51" s="1">
        <f t="shared" ca="1" si="24"/>
        <v>14</v>
      </c>
      <c r="D51" s="3">
        <f t="shared" ca="1" si="25"/>
        <v>2.8457829688985408</v>
      </c>
      <c r="E51" s="3">
        <f t="shared" ca="1" si="26"/>
        <v>11.15421703110146</v>
      </c>
      <c r="F51" s="16"/>
      <c r="G51" s="22">
        <f t="shared" ca="1" si="28"/>
        <v>11.15421703110146</v>
      </c>
      <c r="H51" s="1">
        <v>9</v>
      </c>
      <c r="I51" s="1">
        <f t="shared" ca="1" si="29"/>
        <v>0.85</v>
      </c>
      <c r="J51" s="1">
        <f t="shared" ca="1" si="30"/>
        <v>0.15000000000000002</v>
      </c>
      <c r="K51" s="23">
        <f t="shared" ca="1" si="31"/>
        <v>1.0364333894937898</v>
      </c>
      <c r="L51" s="1">
        <f t="shared" ca="1" si="27"/>
        <v>6.2384218389243529</v>
      </c>
      <c r="M51" s="1">
        <f t="shared" ca="1" si="37"/>
        <v>1</v>
      </c>
      <c r="O51" s="25">
        <f t="shared" ca="1" si="32"/>
        <v>7.1626375118837515</v>
      </c>
      <c r="P51" s="1">
        <f t="shared" ca="1" si="33"/>
        <v>9.1584272714926076</v>
      </c>
      <c r="Q51" s="1" t="str">
        <f t="shared" ca="1" si="34"/>
        <v>7.16263751188375 to &lt;9.15842727149261</v>
      </c>
      <c r="R51" s="1">
        <f t="shared" ca="1" si="35"/>
        <v>9</v>
      </c>
      <c r="S51" s="1">
        <f t="shared" ca="1" si="38"/>
        <v>0</v>
      </c>
      <c r="T51" s="26">
        <f t="shared" ca="1" si="36"/>
        <v>0</v>
      </c>
      <c r="U51" s="27">
        <f t="shared" ca="1" si="39"/>
        <v>0.9</v>
      </c>
      <c r="W51" s="18"/>
      <c r="X51" s="19"/>
      <c r="Z51" s="3">
        <v>3</v>
      </c>
      <c r="AA51" s="1">
        <f ca="1">IF(OR(ISBLANK(Z51),Z51&gt;$I$9),"NA",OFFSET(INDIRECT($AI$34),Z51-1,0,1,1))</f>
        <v>0</v>
      </c>
      <c r="AB51" s="3">
        <f ca="1">$BE$13+SUMPRODUCT(OFFSET($BF$13,0,0,1,$BE$9),OFFSET(INDIRECT($AI$35),Z51-1,0,1,$BE$9))</f>
        <v>10.355357870433242</v>
      </c>
      <c r="AC51" s="3">
        <f ca="1">AA51-AB51</f>
        <v>-10.355357870433242</v>
      </c>
      <c r="AI51" s="1" t="s">
        <v>143</v>
      </c>
    </row>
    <row r="52" spans="1:35" x14ac:dyDescent="0.25">
      <c r="A52" s="3">
        <v>10</v>
      </c>
      <c r="B52" s="16"/>
      <c r="C52" s="1">
        <f t="shared" ca="1" si="24"/>
        <v>22</v>
      </c>
      <c r="D52" s="3">
        <f t="shared" ca="1" si="25"/>
        <v>22.364457422246371</v>
      </c>
      <c r="E52" s="3">
        <f t="shared" ca="1" si="26"/>
        <v>-0.36445742224637101</v>
      </c>
      <c r="F52" s="16"/>
      <c r="G52" s="22">
        <f t="shared" ca="1" si="28"/>
        <v>-0.36445742224637101</v>
      </c>
      <c r="H52" s="1">
        <v>10</v>
      </c>
      <c r="I52" s="1">
        <f t="shared" ca="1" si="29"/>
        <v>0.95</v>
      </c>
      <c r="J52" s="1">
        <f t="shared" ca="1" si="30"/>
        <v>5.0000000000000044E-2</v>
      </c>
      <c r="K52" s="23">
        <f t="shared" ca="1" si="31"/>
        <v>1.6448536269514715</v>
      </c>
      <c r="L52" s="1">
        <f t="shared" ca="1" si="27"/>
        <v>11.15421703110146</v>
      </c>
      <c r="M52" s="1">
        <f t="shared" ca="1" si="37"/>
        <v>1</v>
      </c>
      <c r="O52" s="25">
        <f t="shared" ca="1" si="32"/>
        <v>9.1584272714926076</v>
      </c>
      <c r="P52" s="1">
        <f t="shared" ca="1" si="33"/>
        <v>11.154217031101464</v>
      </c>
      <c r="Q52" s="1" t="str">
        <f t="shared" ca="1" si="34"/>
        <v>9.15842727149261 to &lt;11.1542170311015</v>
      </c>
      <c r="R52" s="1">
        <f t="shared" ca="1" si="35"/>
        <v>9</v>
      </c>
      <c r="S52" s="1">
        <f t="shared" ca="1" si="38"/>
        <v>0</v>
      </c>
      <c r="T52" s="26">
        <f t="shared" ca="1" si="36"/>
        <v>0</v>
      </c>
      <c r="U52" s="27">
        <f t="shared" ca="1" si="39"/>
        <v>0.9</v>
      </c>
      <c r="W52" s="18"/>
      <c r="X52" s="19"/>
      <c r="Z52" s="3">
        <v>4</v>
      </c>
      <c r="AA52" s="1">
        <f ca="1">IF(OR(ISBLANK(Z52),Z52&gt;$I$9),"NA",OFFSET(INDIRECT($AI$34),Z52-1,0,1,1))</f>
        <v>0</v>
      </c>
      <c r="AB52" s="3">
        <f ca="1">$BE$13+SUMPRODUCT(OFFSET($BF$13,0,0,1,$BE$9),OFFSET(INDIRECT($AI$35),Z52-1,0,1,$BE$9))</f>
        <v>10.355357870433242</v>
      </c>
      <c r="AC52" s="3">
        <f ca="1">AA52-AB52</f>
        <v>-10.355357870433242</v>
      </c>
      <c r="AI52" s="1" t="s">
        <v>144</v>
      </c>
    </row>
    <row r="53" spans="1:35" x14ac:dyDescent="0.25">
      <c r="A53" s="3"/>
      <c r="B53" s="16"/>
      <c r="D53" s="3"/>
      <c r="E53" s="3"/>
      <c r="F53" s="16"/>
      <c r="O53" s="25">
        <f t="shared" ca="1" si="32"/>
        <v>11.154217031101464</v>
      </c>
      <c r="P53" s="1">
        <f t="shared" ca="1" si="33"/>
        <v>13.15000679071032</v>
      </c>
      <c r="Q53" s="1" t="str">
        <f t="shared" ca="1" si="34"/>
        <v>11.1542170311015 to &lt;13.1500067907103</v>
      </c>
      <c r="R53" s="1">
        <f t="shared" ca="1" si="35"/>
        <v>10</v>
      </c>
      <c r="S53" s="1">
        <f t="shared" ca="1" si="38"/>
        <v>1</v>
      </c>
      <c r="T53" s="26">
        <f t="shared" ca="1" si="36"/>
        <v>0.1</v>
      </c>
      <c r="U53" s="27">
        <f t="shared" ca="1" si="39"/>
        <v>1</v>
      </c>
      <c r="W53" s="18"/>
      <c r="X53" s="19"/>
      <c r="Z53" s="3">
        <v>5</v>
      </c>
      <c r="AA53" s="1">
        <f ca="1">IF(OR(ISBLANK(Z53),Z53&gt;$I$9),"NA",OFFSET(INDIRECT($AI$34),Z53-1,0,1,1))</f>
        <v>0</v>
      </c>
      <c r="AB53" s="3">
        <f ca="1">$BE$13+SUMPRODUCT(OFFSET($BF$13,0,0,1,$BE$9),OFFSET(INDIRECT($AI$35),Z53-1,0,1,$BE$9))</f>
        <v>10.355357870433242</v>
      </c>
      <c r="AC53" s="3">
        <f ca="1">AA53-AB53</f>
        <v>-10.355357870433242</v>
      </c>
      <c r="AI53" s="1" t="s">
        <v>145</v>
      </c>
    </row>
    <row r="54" spans="1:35" x14ac:dyDescent="0.25">
      <c r="A54" s="3"/>
      <c r="B54" s="16"/>
      <c r="D54" s="3"/>
      <c r="E54" s="3"/>
      <c r="F54" s="16"/>
      <c r="O54" s="25">
        <f t="shared" ca="1" si="32"/>
        <v>13.15000679071032</v>
      </c>
      <c r="P54" s="1">
        <f t="shared" ca="1" si="33"/>
        <v>15.145796550319176</v>
      </c>
      <c r="Q54" s="1" t="str">
        <f t="shared" ca="1" si="34"/>
        <v>13.1500067907103 to &lt;15.1457965503192</v>
      </c>
      <c r="R54" s="1">
        <f t="shared" ca="1" si="35"/>
        <v>10</v>
      </c>
      <c r="S54" s="1">
        <f t="shared" ca="1" si="38"/>
        <v>0</v>
      </c>
      <c r="T54" s="26">
        <f t="shared" ca="1" si="36"/>
        <v>0</v>
      </c>
      <c r="U54" s="27">
        <f t="shared" ca="1" si="39"/>
        <v>1</v>
      </c>
      <c r="W54" s="18"/>
      <c r="X54" s="19"/>
      <c r="AI54" s="1" t="s">
        <v>146</v>
      </c>
    </row>
    <row r="55" spans="1:35" x14ac:dyDescent="0.25">
      <c r="A55" s="3"/>
      <c r="B55" s="16"/>
      <c r="D55" s="3"/>
      <c r="E55" s="3"/>
      <c r="F55" s="16"/>
      <c r="O55" s="25">
        <f t="shared" ca="1" si="32"/>
        <v>15.145796550319176</v>
      </c>
      <c r="P55" s="1">
        <f t="shared" ca="1" si="33"/>
        <v>17.14158630992803</v>
      </c>
      <c r="Q55" s="1" t="str">
        <f t="shared" ca="1" si="34"/>
        <v>15.1457965503192 to &lt;17.141586309928</v>
      </c>
      <c r="R55" s="1">
        <f t="shared" ca="1" si="35"/>
        <v>10</v>
      </c>
      <c r="S55" s="1">
        <f t="shared" ca="1" si="38"/>
        <v>0</v>
      </c>
      <c r="T55" s="26">
        <f t="shared" ca="1" si="36"/>
        <v>0</v>
      </c>
      <c r="U55" s="27">
        <f t="shared" ca="1" si="39"/>
        <v>1</v>
      </c>
      <c r="W55" s="18"/>
      <c r="X55" s="19"/>
      <c r="AI55" s="1" t="s">
        <v>147</v>
      </c>
    </row>
    <row r="56" spans="1:35" x14ac:dyDescent="0.25">
      <c r="A56" s="3"/>
      <c r="B56" s="16"/>
      <c r="D56" s="3"/>
      <c r="E56" s="3"/>
      <c r="F56" s="16"/>
      <c r="O56" s="25">
        <f t="shared" ca="1" si="32"/>
        <v>17.14158630992803</v>
      </c>
      <c r="P56" s="1">
        <f t="shared" ca="1" si="33"/>
        <v>11.15421703110146</v>
      </c>
      <c r="Q56" s="1" t="str">
        <f t="shared" ca="1" si="34"/>
        <v>17.141586309928 to &lt;11.1542170311015</v>
      </c>
      <c r="R56" s="1">
        <f t="shared" ca="1" si="35"/>
        <v>9</v>
      </c>
      <c r="S56" s="1">
        <f t="shared" ca="1" si="38"/>
        <v>-1</v>
      </c>
      <c r="T56" s="26">
        <f t="shared" ca="1" si="36"/>
        <v>-0.1</v>
      </c>
      <c r="U56" s="27">
        <f t="shared" ca="1" si="39"/>
        <v>0.9</v>
      </c>
      <c r="W56" s="18"/>
      <c r="X56" s="19"/>
    </row>
    <row r="57" spans="1:35" x14ac:dyDescent="0.25">
      <c r="A57" s="3"/>
      <c r="B57" s="16"/>
      <c r="D57" s="3"/>
      <c r="E57" s="3"/>
      <c r="F57" s="16"/>
      <c r="S57" s="28"/>
      <c r="T57" s="28"/>
      <c r="W57" s="18"/>
      <c r="X57" s="19"/>
      <c r="AI57" s="1" t="s">
        <v>148</v>
      </c>
    </row>
    <row r="58" spans="1:35" x14ac:dyDescent="0.25">
      <c r="A58" s="3"/>
      <c r="B58" s="16"/>
      <c r="D58" s="3"/>
      <c r="E58" s="3"/>
      <c r="F58" s="16"/>
      <c r="S58" s="28"/>
      <c r="T58" s="28"/>
      <c r="W58" s="18"/>
      <c r="X58" s="19"/>
      <c r="AI58" s="1" t="s">
        <v>149</v>
      </c>
    </row>
    <row r="59" spans="1:35" x14ac:dyDescent="0.25">
      <c r="S59" s="28"/>
      <c r="T59" s="28"/>
      <c r="W59" s="18"/>
      <c r="X59" s="19"/>
      <c r="AI59" s="1" t="s">
        <v>150</v>
      </c>
    </row>
    <row r="60" spans="1:35" x14ac:dyDescent="0.25">
      <c r="S60" s="28"/>
      <c r="T60" s="28"/>
      <c r="W60" s="18"/>
      <c r="X60" s="19"/>
      <c r="AI60" s="1" t="s">
        <v>151</v>
      </c>
    </row>
    <row r="61" spans="1:35" x14ac:dyDescent="0.25">
      <c r="S61" s="28"/>
      <c r="T61" s="28"/>
      <c r="W61" s="18"/>
      <c r="X61" s="19"/>
      <c r="AI61" s="25">
        <v>20</v>
      </c>
    </row>
    <row r="62" spans="1:35" x14ac:dyDescent="0.25">
      <c r="AI62" s="1" t="s">
        <v>152</v>
      </c>
    </row>
    <row r="63" spans="1:35" x14ac:dyDescent="0.25">
      <c r="AI63" s="25">
        <v>1</v>
      </c>
    </row>
    <row r="73" spans="22:24" x14ac:dyDescent="0.25">
      <c r="V73" s="1" t="s">
        <v>153</v>
      </c>
      <c r="X73" s="1" t="s">
        <v>154</v>
      </c>
    </row>
    <row r="74" spans="22:24" x14ac:dyDescent="0.25">
      <c r="V74" s="1" t="s">
        <v>155</v>
      </c>
      <c r="W74" s="1">
        <f ca="1">MIN($E$43:$E$65000)</f>
        <v>-8.8036805649870953</v>
      </c>
      <c r="X74" s="1">
        <f ca="1">MAX($M$43:$M$65535)*1.1</f>
        <v>1.1000000000000001</v>
      </c>
    </row>
    <row r="75" spans="22:24" x14ac:dyDescent="0.25">
      <c r="V75" s="1" t="s">
        <v>156</v>
      </c>
      <c r="W75" s="1">
        <f ca="1">QUARTILE($E$43:$E$65000,1)</f>
        <v>-2.0086411788673049</v>
      </c>
      <c r="X75" s="1">
        <f ca="1">X74</f>
        <v>1.1000000000000001</v>
      </c>
    </row>
    <row r="76" spans="22:24" x14ac:dyDescent="0.25">
      <c r="V76" s="1" t="s">
        <v>157</v>
      </c>
      <c r="W76" s="1">
        <f ca="1">MEDIAN($E$43:$E$65000)</f>
        <v>-0.87270813527094937</v>
      </c>
      <c r="X76" s="1">
        <f ca="1">X75</f>
        <v>1.1000000000000001</v>
      </c>
    </row>
    <row r="77" spans="22:24" x14ac:dyDescent="0.25">
      <c r="V77" s="1" t="s">
        <v>158</v>
      </c>
      <c r="W77" s="1">
        <f ca="1">QUARTILE($E$43:$E$65000,3)</f>
        <v>0.67100706233871854</v>
      </c>
      <c r="X77" s="1">
        <f ca="1">X76</f>
        <v>1.1000000000000001</v>
      </c>
    </row>
    <row r="78" spans="22:24" x14ac:dyDescent="0.25">
      <c r="V78" s="1" t="s">
        <v>159</v>
      </c>
      <c r="W78" s="1">
        <f ca="1">MAX($E$43:$E$65000)</f>
        <v>11.15421703110146</v>
      </c>
      <c r="X78" s="1">
        <f ca="1">X77</f>
        <v>1.1000000000000001</v>
      </c>
    </row>
    <row r="79" spans="22:24" x14ac:dyDescent="0.25">
      <c r="V79" s="1" t="s">
        <v>160</v>
      </c>
      <c r="W79" s="1">
        <f ca="1">AVERAGE($E$43:$E$65000)</f>
        <v>1.9539925233402757E-15</v>
      </c>
    </row>
  </sheetData>
  <sheetCalcPr fullCalcOnLoad="1"/>
  <sheetProtection selectLockedCells="1" selectUnlockedCells="1"/>
  <mergeCells count="1">
    <mergeCell ref="A3:B3"/>
  </mergeCells>
  <conditionalFormatting sqref="I10">
    <cfRule type="cellIs" dxfId="4" priority="1" stopIfTrue="1" operator="lessThan">
      <formula>1</formula>
    </cfRule>
  </conditionalFormatting>
  <conditionalFormatting sqref="I13">
    <cfRule type="cellIs" dxfId="3" priority="2" stopIfTrue="1" operator="equal">
      <formula>0</formula>
    </cfRule>
    <cfRule type="cellIs" dxfId="2" priority="3" stopIfTrue="1" operator="equal">
      <formula>0.5</formula>
    </cfRule>
  </conditionalFormatting>
  <conditionalFormatting sqref="C41">
    <cfRule type="cellIs" dxfId="1" priority="4" stopIfTrue="1" operator="equal">
      <formula>0</formula>
    </cfRule>
    <cfRule type="cellIs" dxfId="0" priority="5" stopIfTrue="1" operator="equal">
      <formula>0.5</formula>
    </cfRule>
  </conditionalFormatting>
  <pageMargins left="0.7" right="0.7" top="0.75" bottom="0.75" header="0.51180555555555551" footer="0.51180555555555551"/>
  <pageSetup firstPageNumber="0" orientation="portrait" horizontalDpi="300" verticalDpi="30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sampledata</vt:lpstr>
      <vt:lpstr>sampledata2</vt:lpstr>
      <vt:lpstr>oldoutput</vt:lpstr>
      <vt:lpstr>LiveRegression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aross15</cp:lastModifiedBy>
  <dcterms:created xsi:type="dcterms:W3CDTF">2014-12-07T05:54:37Z</dcterms:created>
  <dcterms:modified xsi:type="dcterms:W3CDTF">2015-05-07T20:33:32Z</dcterms:modified>
</cp:coreProperties>
</file>